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2" activeTab="41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Item28" sheetId="31" state="hidden" r:id="rId28"/>
    <sheet name="Item29" sheetId="32" state="hidden" r:id="rId29"/>
    <sheet name="Item30" sheetId="33" state="hidden" r:id="rId30"/>
    <sheet name="Item31" sheetId="34" state="hidden" r:id="rId31"/>
    <sheet name="Item32" sheetId="35" state="hidden" r:id="rId32"/>
    <sheet name="Item33" sheetId="36" state="hidden" r:id="rId33"/>
    <sheet name="Item34" sheetId="37" state="hidden" r:id="rId34"/>
    <sheet name="Item35" sheetId="38" state="hidden" r:id="rId35"/>
    <sheet name="Item36" sheetId="39" state="hidden" r:id="rId36"/>
    <sheet name="Item37" sheetId="40" state="hidden" r:id="rId37"/>
    <sheet name="Item38" sheetId="41" state="hidden" r:id="rId38"/>
    <sheet name="Item39" sheetId="42" state="hidden" r:id="rId39"/>
    <sheet name="Item40" sheetId="43" state="hidden" r:id="rId40"/>
    <sheet name="Item41" sheetId="44" state="hidden" r:id="rId41"/>
    <sheet name="total" sheetId="23" r:id="rId42"/>
  </sheets>
  <definedNames>
    <definedName name="_xlnm._FilterDatabase" localSheetId="41" hidden="1">total!$A$2:$G$16</definedName>
    <definedName name="_xlnm.Print_Area" localSheetId="41">total!$A$1:$G$18</definedName>
    <definedName name="_xlnm.Print_Titles" localSheetId="41">total!$1:$2</definedName>
  </definedNames>
  <calcPr calcId="145621"/>
</workbook>
</file>

<file path=xl/calcChain.xml><?xml version="1.0" encoding="utf-8"?>
<calcChain xmlns="http://schemas.openxmlformats.org/spreadsheetml/2006/main">
  <c r="H11" i="10" l="1"/>
  <c r="H10" i="10"/>
  <c r="H9" i="10"/>
  <c r="H8" i="10"/>
  <c r="H7" i="10"/>
  <c r="H6" i="10"/>
  <c r="H5" i="10"/>
  <c r="H4" i="10"/>
  <c r="H3" i="10"/>
  <c r="H11" i="8"/>
  <c r="H10" i="8"/>
  <c r="H9" i="8"/>
  <c r="H8" i="8"/>
  <c r="H7" i="8"/>
  <c r="H6" i="8"/>
  <c r="H5" i="8"/>
  <c r="H4" i="8"/>
  <c r="H3" i="8"/>
  <c r="H11" i="5"/>
  <c r="H10" i="5"/>
  <c r="H9" i="5"/>
  <c r="H8" i="5"/>
  <c r="H7" i="5"/>
  <c r="H6" i="5"/>
  <c r="H5" i="5"/>
  <c r="H4" i="5"/>
  <c r="H3" i="5"/>
  <c r="H11" i="1"/>
  <c r="H10" i="1"/>
  <c r="H9" i="1"/>
  <c r="H8" i="1"/>
  <c r="H7" i="1"/>
  <c r="H6" i="1"/>
  <c r="H5" i="1"/>
  <c r="H4" i="1"/>
  <c r="H3" i="1"/>
  <c r="H6" i="4"/>
  <c r="H5" i="4"/>
  <c r="H4" i="4"/>
  <c r="H3" i="4"/>
  <c r="F25" i="23"/>
  <c r="F24" i="23"/>
  <c r="F23" i="23"/>
  <c r="E20" i="23"/>
  <c r="H17" i="17" l="1"/>
  <c r="H15" i="17"/>
  <c r="H14" i="17"/>
  <c r="H13" i="17"/>
  <c r="H12" i="17"/>
  <c r="H10" i="17"/>
  <c r="H6" i="17"/>
  <c r="H5" i="17"/>
  <c r="H11" i="17"/>
  <c r="H16" i="17"/>
  <c r="H9" i="17"/>
  <c r="H8" i="17"/>
  <c r="H7" i="17"/>
  <c r="H4" i="17"/>
  <c r="H3" i="17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H3" i="21"/>
  <c r="H5" i="18"/>
  <c r="H12" i="18"/>
  <c r="H13" i="18"/>
  <c r="H3" i="18"/>
  <c r="H17" i="18"/>
  <c r="H16" i="18"/>
  <c r="H15" i="18"/>
  <c r="H14" i="18"/>
  <c r="H11" i="18"/>
  <c r="H10" i="18"/>
  <c r="H9" i="18"/>
  <c r="H8" i="18"/>
  <c r="H7" i="18"/>
  <c r="H6" i="18"/>
  <c r="H4" i="18"/>
  <c r="H13" i="29"/>
  <c r="H12" i="29"/>
  <c r="H11" i="29"/>
  <c r="H10" i="29"/>
  <c r="H9" i="29"/>
  <c r="H8" i="29"/>
  <c r="H7" i="29"/>
  <c r="H6" i="29"/>
  <c r="H5" i="29"/>
  <c r="H4" i="29"/>
  <c r="H3" i="29"/>
  <c r="H11" i="28"/>
  <c r="H10" i="28"/>
  <c r="H9" i="28"/>
  <c r="H8" i="28"/>
  <c r="H7" i="28"/>
  <c r="H6" i="28"/>
  <c r="H5" i="28"/>
  <c r="H4" i="28"/>
  <c r="H3" i="28"/>
  <c r="H11" i="27"/>
  <c r="H10" i="27"/>
  <c r="H9" i="27"/>
  <c r="H8" i="27"/>
  <c r="H7" i="27"/>
  <c r="H6" i="27"/>
  <c r="H5" i="27"/>
  <c r="H4" i="27"/>
  <c r="H3" i="27"/>
  <c r="H11" i="26"/>
  <c r="H10" i="26"/>
  <c r="H9" i="26"/>
  <c r="H8" i="26"/>
  <c r="H7" i="26"/>
  <c r="H6" i="26"/>
  <c r="H5" i="26"/>
  <c r="H4" i="26"/>
  <c r="H3" i="26"/>
  <c r="H11" i="24"/>
  <c r="H10" i="24"/>
  <c r="H9" i="24"/>
  <c r="H8" i="24"/>
  <c r="H7" i="24"/>
  <c r="H6" i="24"/>
  <c r="H5" i="24"/>
  <c r="H4" i="24"/>
  <c r="H3" i="24"/>
  <c r="H11" i="22"/>
  <c r="H10" i="22"/>
  <c r="H9" i="22"/>
  <c r="H8" i="22"/>
  <c r="H7" i="22"/>
  <c r="H6" i="22"/>
  <c r="H5" i="22"/>
  <c r="H4" i="22"/>
  <c r="H3" i="22"/>
  <c r="H11" i="20"/>
  <c r="H10" i="20"/>
  <c r="H9" i="20"/>
  <c r="H8" i="20"/>
  <c r="H7" i="20"/>
  <c r="H6" i="20"/>
  <c r="H5" i="20"/>
  <c r="H4" i="20"/>
  <c r="H3" i="20"/>
  <c r="H11" i="19"/>
  <c r="H10" i="19"/>
  <c r="H9" i="19"/>
  <c r="H8" i="19"/>
  <c r="H7" i="19"/>
  <c r="H6" i="19"/>
  <c r="H5" i="19"/>
  <c r="H4" i="19"/>
  <c r="H3" i="19"/>
  <c r="D3" i="42" l="1"/>
  <c r="D3" i="36"/>
  <c r="D3" i="40"/>
  <c r="D3" i="39"/>
  <c r="D3" i="38"/>
  <c r="F20" i="44" l="1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7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1" s="1"/>
  <c r="G20" i="41" s="1"/>
  <c r="F20" i="40"/>
  <c r="D20" i="40"/>
  <c r="B20" i="40"/>
  <c r="A20" i="40" s="1"/>
  <c r="C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C20" i="39" s="1"/>
  <c r="I6" i="39" s="1"/>
  <c r="A20" i="39"/>
  <c r="I17" i="39"/>
  <c r="I16" i="39"/>
  <c r="I15" i="39"/>
  <c r="I14" i="39"/>
  <c r="I13" i="39"/>
  <c r="I12" i="39"/>
  <c r="I11" i="39"/>
  <c r="I10" i="39"/>
  <c r="I9" i="39"/>
  <c r="I8" i="39"/>
  <c r="F3" i="39"/>
  <c r="H20" i="39" s="1"/>
  <c r="G20" i="39" s="1"/>
  <c r="F20" i="38"/>
  <c r="D20" i="38"/>
  <c r="B20" i="38"/>
  <c r="I17" i="38"/>
  <c r="I16" i="38"/>
  <c r="I15" i="38"/>
  <c r="I14" i="38"/>
  <c r="I11" i="38"/>
  <c r="I8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F3" i="37"/>
  <c r="H20" i="37" s="1"/>
  <c r="G20" i="37" s="1"/>
  <c r="F20" i="36"/>
  <c r="D20" i="36"/>
  <c r="B20" i="36"/>
  <c r="A20" i="36" s="1"/>
  <c r="C20" i="36" s="1"/>
  <c r="I17" i="36"/>
  <c r="I16" i="36"/>
  <c r="I15" i="36"/>
  <c r="I14" i="36"/>
  <c r="I13" i="36"/>
  <c r="I12" i="36"/>
  <c r="I11" i="36"/>
  <c r="I10" i="36"/>
  <c r="I9" i="36"/>
  <c r="I8" i="36"/>
  <c r="F3" i="36"/>
  <c r="H20" i="36" s="1"/>
  <c r="G20" i="36" s="1"/>
  <c r="F20" i="35"/>
  <c r="D20" i="35"/>
  <c r="B20" i="35"/>
  <c r="A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F3" i="34"/>
  <c r="H20" i="34" s="1"/>
  <c r="G20" i="34" s="1"/>
  <c r="F20" i="33"/>
  <c r="D20" i="33"/>
  <c r="B20" i="33"/>
  <c r="A20" i="33" s="1"/>
  <c r="F3" i="33"/>
  <c r="H20" i="33" s="1"/>
  <c r="G20" i="33" s="1"/>
  <c r="F20" i="32"/>
  <c r="D20" i="32"/>
  <c r="B20" i="32"/>
  <c r="A20" i="32" s="1"/>
  <c r="I17" i="32"/>
  <c r="I16" i="32"/>
  <c r="I15" i="32"/>
  <c r="I14" i="32"/>
  <c r="I13" i="32"/>
  <c r="I12" i="32"/>
  <c r="F3" i="32"/>
  <c r="H20" i="32" s="1"/>
  <c r="G20" i="32" s="1"/>
  <c r="F20" i="31"/>
  <c r="D20" i="31"/>
  <c r="B20" i="31"/>
  <c r="A20" i="31" s="1"/>
  <c r="C20" i="31" s="1"/>
  <c r="I11" i="31" s="1"/>
  <c r="I17" i="31"/>
  <c r="I16" i="31"/>
  <c r="I15" i="31"/>
  <c r="I14" i="31"/>
  <c r="I13" i="31"/>
  <c r="I12" i="31"/>
  <c r="F3" i="31"/>
  <c r="H20" i="31" s="1"/>
  <c r="G20" i="31" s="1"/>
  <c r="C20" i="34" l="1"/>
  <c r="I17" i="34" s="1"/>
  <c r="C20" i="32"/>
  <c r="I11" i="32" s="1"/>
  <c r="C20" i="35"/>
  <c r="I4" i="35" s="1"/>
  <c r="I10" i="31"/>
  <c r="A20" i="38"/>
  <c r="C20" i="38" s="1"/>
  <c r="C20" i="33"/>
  <c r="I17" i="33" s="1"/>
  <c r="A20" i="37"/>
  <c r="C20" i="37" s="1"/>
  <c r="C20" i="41"/>
  <c r="I9" i="40"/>
  <c r="I3" i="40"/>
  <c r="I8" i="40"/>
  <c r="I7" i="40"/>
  <c r="I6" i="40"/>
  <c r="I5" i="40"/>
  <c r="I10" i="40"/>
  <c r="I4" i="40"/>
  <c r="I3" i="42"/>
  <c r="I6" i="42"/>
  <c r="I5" i="42"/>
  <c r="I4" i="42"/>
  <c r="I4" i="31"/>
  <c r="I9" i="31"/>
  <c r="I3" i="31"/>
  <c r="I7" i="31"/>
  <c r="I6" i="31"/>
  <c r="I5" i="31"/>
  <c r="I8" i="31"/>
  <c r="I3" i="36"/>
  <c r="E20" i="36" s="1"/>
  <c r="I7" i="36"/>
  <c r="I6" i="36"/>
  <c r="I5" i="36"/>
  <c r="I4" i="36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I10" i="38"/>
  <c r="I7" i="39"/>
  <c r="E20" i="40"/>
  <c r="E3" i="40" s="1"/>
  <c r="E3" i="41"/>
  <c r="E20" i="42"/>
  <c r="H22" i="42" s="1"/>
  <c r="H23" i="42" s="1"/>
  <c r="I12" i="38"/>
  <c r="I3" i="39"/>
  <c r="I3" i="41"/>
  <c r="A20" i="44"/>
  <c r="C20" i="44" s="1"/>
  <c r="I13" i="38"/>
  <c r="I4" i="39"/>
  <c r="E20" i="41"/>
  <c r="I5" i="39"/>
  <c r="I15" i="33" l="1"/>
  <c r="I16" i="33"/>
  <c r="I13" i="33"/>
  <c r="I14" i="33"/>
  <c r="I11" i="33"/>
  <c r="I12" i="33"/>
  <c r="I4" i="33"/>
  <c r="E20" i="33" s="1"/>
  <c r="H22" i="33" s="1"/>
  <c r="H23" i="33" s="1"/>
  <c r="I10" i="33"/>
  <c r="I8" i="33"/>
  <c r="I9" i="33"/>
  <c r="I5" i="33"/>
  <c r="I7" i="33"/>
  <c r="I6" i="33"/>
  <c r="I3" i="33"/>
  <c r="I15" i="34"/>
  <c r="I16" i="34"/>
  <c r="I13" i="34"/>
  <c r="I14" i="34"/>
  <c r="I10" i="34"/>
  <c r="I12" i="34"/>
  <c r="I5" i="34"/>
  <c r="I11" i="34"/>
  <c r="I8" i="34"/>
  <c r="I9" i="34"/>
  <c r="I3" i="34"/>
  <c r="I7" i="34"/>
  <c r="I4" i="34"/>
  <c r="I6" i="34"/>
  <c r="I5" i="32"/>
  <c r="I10" i="32"/>
  <c r="I7" i="32"/>
  <c r="I9" i="32"/>
  <c r="I3" i="32"/>
  <c r="I6" i="32"/>
  <c r="I8" i="32"/>
  <c r="I4" i="32"/>
  <c r="E20" i="32" s="1"/>
  <c r="I11" i="35"/>
  <c r="I10" i="35"/>
  <c r="I8" i="35"/>
  <c r="I9" i="35"/>
  <c r="I7" i="35"/>
  <c r="I6" i="35"/>
  <c r="I3" i="35"/>
  <c r="I5" i="35"/>
  <c r="E20" i="31"/>
  <c r="I5" i="41"/>
  <c r="I6" i="41"/>
  <c r="I4" i="41"/>
  <c r="H22" i="41"/>
  <c r="H23" i="41" s="1"/>
  <c r="E20" i="39"/>
  <c r="H22" i="39" s="1"/>
  <c r="H23" i="39" s="1"/>
  <c r="I9" i="38"/>
  <c r="I6" i="38"/>
  <c r="I7" i="38"/>
  <c r="I3" i="38"/>
  <c r="I5" i="38"/>
  <c r="I4" i="38"/>
  <c r="E20" i="38" s="1"/>
  <c r="I6" i="37"/>
  <c r="I7" i="37"/>
  <c r="I3" i="37"/>
  <c r="E3" i="37"/>
  <c r="H22" i="37"/>
  <c r="H23" i="37" s="1"/>
  <c r="E20" i="37"/>
  <c r="I4" i="37"/>
  <c r="I5" i="37"/>
  <c r="E3" i="39"/>
  <c r="H22" i="38"/>
  <c r="H23" i="38" s="1"/>
  <c r="E3" i="38"/>
  <c r="E3" i="43"/>
  <c r="H22" i="43"/>
  <c r="H23" i="43" s="1"/>
  <c r="E3" i="32"/>
  <c r="H22" i="32"/>
  <c r="H23" i="32" s="1"/>
  <c r="E3" i="31"/>
  <c r="H22" i="31"/>
  <c r="H23" i="31" s="1"/>
  <c r="H22" i="36"/>
  <c r="H23" i="36" s="1"/>
  <c r="E3" i="36"/>
  <c r="I9" i="44"/>
  <c r="I3" i="44"/>
  <c r="I8" i="44"/>
  <c r="I7" i="44"/>
  <c r="I6" i="44"/>
  <c r="E20" i="44" s="1"/>
  <c r="I11" i="44"/>
  <c r="I5" i="44"/>
  <c r="I10" i="44"/>
  <c r="I4" i="44"/>
  <c r="E3" i="33"/>
  <c r="H22" i="40"/>
  <c r="H23" i="40" s="1"/>
  <c r="E3" i="42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E20" i="34" l="1"/>
  <c r="E3" i="34" s="1"/>
  <c r="E20" i="35"/>
  <c r="C20" i="26"/>
  <c r="I9" i="26" s="1"/>
  <c r="H22" i="44"/>
  <c r="H23" i="44" s="1"/>
  <c r="E3" i="44"/>
  <c r="C20" i="24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7" i="24"/>
  <c r="I15" i="26"/>
  <c r="I16" i="26"/>
  <c r="I14" i="26"/>
  <c r="I13" i="26"/>
  <c r="I12" i="26"/>
  <c r="I17" i="26"/>
  <c r="I11" i="26"/>
  <c r="C20" i="25"/>
  <c r="C20" i="27"/>
  <c r="C20" i="29"/>
  <c r="A20" i="30"/>
  <c r="C20" i="30" s="1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H22" i="34" l="1"/>
  <c r="H23" i="34" s="1"/>
  <c r="I16" i="24"/>
  <c r="I15" i="24"/>
  <c r="I14" i="24"/>
  <c r="I13" i="24"/>
  <c r="H22" i="35"/>
  <c r="H23" i="35" s="1"/>
  <c r="E3" i="35"/>
  <c r="I4" i="26"/>
  <c r="I10" i="26"/>
  <c r="I6" i="26"/>
  <c r="I8" i="26"/>
  <c r="I5" i="26"/>
  <c r="I3" i="26"/>
  <c r="E20" i="26" s="1"/>
  <c r="H22" i="26" s="1"/>
  <c r="H23" i="26" s="1"/>
  <c r="I7" i="26"/>
  <c r="C20" i="14"/>
  <c r="I6" i="14" s="1"/>
  <c r="E20" i="28"/>
  <c r="E3" i="28" s="1"/>
  <c r="I12" i="24"/>
  <c r="I3" i="24"/>
  <c r="I7" i="24"/>
  <c r="I11" i="24"/>
  <c r="I4" i="24"/>
  <c r="I10" i="24"/>
  <c r="I6" i="24"/>
  <c r="C20" i="16"/>
  <c r="I9" i="16" s="1"/>
  <c r="C20" i="5"/>
  <c r="I6" i="5" s="1"/>
  <c r="I5" i="24"/>
  <c r="I9" i="24"/>
  <c r="C20" i="22"/>
  <c r="I3" i="22" s="1"/>
  <c r="C20" i="20"/>
  <c r="I5" i="20" s="1"/>
  <c r="C20" i="18"/>
  <c r="I6" i="18" s="1"/>
  <c r="C20" i="12"/>
  <c r="I9" i="12" s="1"/>
  <c r="C20" i="9"/>
  <c r="I10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2" i="21" s="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3" i="14"/>
  <c r="I16" i="14"/>
  <c r="I14" i="14"/>
  <c r="I10" i="14"/>
  <c r="I13" i="14"/>
  <c r="I12" i="14"/>
  <c r="I17" i="14"/>
  <c r="I11" i="14"/>
  <c r="C20" i="11"/>
  <c r="C20" i="13"/>
  <c r="C20" i="15"/>
  <c r="C20" i="17"/>
  <c r="I15" i="8"/>
  <c r="I14" i="8"/>
  <c r="I12" i="8"/>
  <c r="I13" i="8"/>
  <c r="I17" i="8"/>
  <c r="I16" i="8"/>
  <c r="I16" i="9"/>
  <c r="C20" i="10"/>
  <c r="I13" i="9"/>
  <c r="I15" i="9"/>
  <c r="I15" i="7"/>
  <c r="I17" i="7"/>
  <c r="I17" i="9"/>
  <c r="I12" i="5"/>
  <c r="I17" i="5"/>
  <c r="I11" i="5"/>
  <c r="I16" i="5"/>
  <c r="I13" i="5"/>
  <c r="I15" i="5"/>
  <c r="I14" i="5"/>
  <c r="A20" i="4"/>
  <c r="C20" i="4" s="1"/>
  <c r="C20" i="1"/>
  <c r="I16" i="6" l="1"/>
  <c r="I17" i="6"/>
  <c r="I15" i="6"/>
  <c r="I17" i="18"/>
  <c r="I15" i="18"/>
  <c r="I16" i="18"/>
  <c r="I12" i="18"/>
  <c r="I14" i="18"/>
  <c r="I13" i="18"/>
  <c r="I11" i="18"/>
  <c r="I10" i="18"/>
  <c r="I8" i="18"/>
  <c r="I9" i="18"/>
  <c r="I7" i="18"/>
  <c r="I5" i="18"/>
  <c r="I3" i="18"/>
  <c r="I14" i="6"/>
  <c r="I12" i="6"/>
  <c r="I5" i="6"/>
  <c r="I6" i="6"/>
  <c r="I3" i="6"/>
  <c r="H22" i="28"/>
  <c r="H23" i="28" s="1"/>
  <c r="E20" i="27"/>
  <c r="H22" i="27" s="1"/>
  <c r="H23" i="27" s="1"/>
  <c r="I9" i="14"/>
  <c r="I4" i="14"/>
  <c r="I7" i="14"/>
  <c r="I5" i="14"/>
  <c r="E20" i="14" s="1"/>
  <c r="E3" i="14" s="1"/>
  <c r="F14" i="23" s="1"/>
  <c r="G14" i="23" s="1"/>
  <c r="I8" i="14"/>
  <c r="I11" i="9"/>
  <c r="I9" i="9"/>
  <c r="I12" i="9"/>
  <c r="I8" i="9"/>
  <c r="I6" i="9"/>
  <c r="I5" i="9"/>
  <c r="I8" i="5"/>
  <c r="I11" i="8"/>
  <c r="I10" i="8"/>
  <c r="I9" i="8"/>
  <c r="I7" i="8"/>
  <c r="I8" i="8"/>
  <c r="I6" i="16"/>
  <c r="I3" i="9"/>
  <c r="I7" i="9"/>
  <c r="I7" i="6"/>
  <c r="E20" i="24"/>
  <c r="E3" i="24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I7" i="22"/>
  <c r="I4" i="9"/>
  <c r="I10" i="7"/>
  <c r="I14" i="7"/>
  <c r="I8" i="7"/>
  <c r="I6" i="7"/>
  <c r="I4" i="7"/>
  <c r="I12" i="7"/>
  <c r="I9" i="7"/>
  <c r="I3" i="7"/>
  <c r="I13" i="7"/>
  <c r="I7" i="7"/>
  <c r="I5" i="7"/>
  <c r="I11" i="7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8" l="1"/>
  <c r="H22" i="18" s="1"/>
  <c r="H23" i="18" s="1"/>
  <c r="E20" i="6"/>
  <c r="H22" i="6" s="1"/>
  <c r="H23" i="6" s="1"/>
  <c r="E3" i="27"/>
  <c r="E20" i="22"/>
  <c r="H22" i="22" s="1"/>
  <c r="H23" i="22" s="1"/>
  <c r="E20" i="16"/>
  <c r="H22" i="16" s="1"/>
  <c r="H23" i="16" s="1"/>
  <c r="E20" i="12"/>
  <c r="E3" i="12" s="1"/>
  <c r="F12" i="23" s="1"/>
  <c r="G12" i="23" s="1"/>
  <c r="E20" i="9"/>
  <c r="H22" i="9" s="1"/>
  <c r="H23" i="9" s="1"/>
  <c r="E20" i="8"/>
  <c r="H22" i="8" s="1"/>
  <c r="H23" i="8" s="1"/>
  <c r="H22" i="14"/>
  <c r="H23" i="14" s="1"/>
  <c r="H22" i="24"/>
  <c r="H23" i="24" s="1"/>
  <c r="E20" i="20"/>
  <c r="E3" i="20" s="1"/>
  <c r="E20" i="5"/>
  <c r="E3" i="5" s="1"/>
  <c r="F5" i="23" s="1"/>
  <c r="G5" i="23" s="1"/>
  <c r="H22" i="30"/>
  <c r="H23" i="30" s="1"/>
  <c r="E3" i="29"/>
  <c r="E3" i="25"/>
  <c r="E20" i="21"/>
  <c r="H22" i="21" s="1"/>
  <c r="H23" i="21" s="1"/>
  <c r="E20" i="19"/>
  <c r="H22" i="19" s="1"/>
  <c r="H23" i="19" s="1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E20" i="17"/>
  <c r="E20" i="1"/>
  <c r="E3" i="18" l="1"/>
  <c r="E3" i="6"/>
  <c r="F6" i="23" s="1"/>
  <c r="G6" i="23" s="1"/>
  <c r="E3" i="22"/>
  <c r="H22" i="20"/>
  <c r="H23" i="20" s="1"/>
  <c r="E3" i="16"/>
  <c r="F16" i="23" s="1"/>
  <c r="G16" i="23" s="1"/>
  <c r="H22" i="12"/>
  <c r="H23" i="12" s="1"/>
  <c r="E3" i="9"/>
  <c r="F9" i="23" s="1"/>
  <c r="G9" i="23" s="1"/>
  <c r="E3" i="8"/>
  <c r="F8" i="23" s="1"/>
  <c r="G8" i="23" s="1"/>
  <c r="E3" i="21"/>
  <c r="E3" i="19"/>
  <c r="E3" i="15"/>
  <c r="F15" i="23" s="1"/>
  <c r="G15" i="23" s="1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22" i="23" l="1"/>
  <c r="F18" i="23"/>
</calcChain>
</file>

<file path=xl/sharedStrings.xml><?xml version="1.0" encoding="utf-8"?>
<sst xmlns="http://schemas.openxmlformats.org/spreadsheetml/2006/main" count="1515" uniqueCount="161">
  <si>
    <t>Resultado da Estimativa</t>
  </si>
  <si>
    <t>item</t>
  </si>
  <si>
    <t>descrição</t>
  </si>
  <si>
    <t>unidade de fornecimento</t>
  </si>
  <si>
    <t>quantidade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</si>
  <si>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</si>
  <si>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</si>
  <si>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</si>
  <si>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</si>
  <si>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</si>
  <si>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</si>
  <si>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</si>
  <si>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</si>
  <si>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</si>
  <si>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</si>
  <si>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</si>
  <si>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</si>
  <si>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</si>
  <si>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</si>
  <si>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</si>
  <si>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</si>
  <si>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</si>
  <si>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</si>
  <si>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</si>
  <si>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</si>
  <si>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</si>
  <si>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</si>
  <si>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</si>
  <si>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</si>
  <si>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total estimado</t>
  </si>
  <si>
    <t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
• Garantia de, no mínimo, 360 dias.</t>
  </si>
  <si>
    <t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36 (trinta e seis) meses.
• Referência: CISCO SIP PHONE 3905</t>
  </si>
  <si>
    <t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360 dias.</t>
  </si>
  <si>
    <t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</si>
  <si>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t>
  </si>
  <si>
    <t>SMARTV com as seguintes características:
• Diagonal 40 polegadas;
• Conversor digital integrado;
• Cor preta;
• Borda infinita;
• Fonte bivolt 110-220 V;
•     Conexões:
 Mínimo de 2 (duas) entradas HDMI;
 Conectividade Wi-Fi;
 Mínimo de 1 (uma) entrada USB 2.0 ou superior com capacidade de reprodução de áudio, vídeo e musicas em alta resolução direto de dispositivo USB (Pen Drive);
 Mínimo de 1 (uma) entrada de áudio/vídeo;
 Mínimo de uma entrada RF para TV aberta;
 Mínimo de 1 (uma) entrada ethernet.
• Controle remoto munido das pilhas necessárias para o primeiro uso;
• Acompanhado de base para uso em mesa;
• Manual em português;
• Garantia de, no mínimo, 360 dias.</t>
  </si>
  <si>
    <t>AMAZON</t>
  </si>
  <si>
    <t>LEROY MERLIN</t>
  </si>
  <si>
    <t>CARREFOUR</t>
  </si>
  <si>
    <t>AMERICANAS</t>
  </si>
  <si>
    <t>MAGAZINE LUIZA</t>
  </si>
  <si>
    <t>CASAS BAHIA</t>
  </si>
  <si>
    <t>LOJA MUNDI</t>
  </si>
  <si>
    <t>MULTI COMPANY</t>
  </si>
  <si>
    <t>TI MIX</t>
  </si>
  <si>
    <t>PHILCO</t>
  </si>
  <si>
    <t>GBARBOSA</t>
  </si>
  <si>
    <t>FERREIRA COSTA</t>
  </si>
  <si>
    <t>LEVEROS</t>
  </si>
  <si>
    <t>KABUM</t>
  </si>
  <si>
    <t>ELETROLUX</t>
  </si>
  <si>
    <t>GLOBAL PROJETORES</t>
  </si>
  <si>
    <t>HTCLICK</t>
  </si>
  <si>
    <t>IFONTECH</t>
  </si>
  <si>
    <t>RMS COMMERCE</t>
  </si>
  <si>
    <t>SHOPTIME</t>
  </si>
  <si>
    <t>TIMIX</t>
  </si>
  <si>
    <t>SOLUÇÃO CABOS</t>
  </si>
  <si>
    <t>TECHINN</t>
  </si>
  <si>
    <t>Serviço de filmagem digital em alta definição (HD).</t>
  </si>
  <si>
    <t>Serviço de transmissão simultânea de evento, com recursos de áudio e vídeo</t>
  </si>
  <si>
    <t>Sistema de som.</t>
  </si>
  <si>
    <t>Monitor de 32” para retorno de vídeo no palco</t>
  </si>
  <si>
    <t>Serviço de cobertura fotográfica</t>
  </si>
  <si>
    <t>Serviço de filmagem em alta definição FHD, com link dedicado de internet, com webstreaming (transmissão ao vivo) para os principais sites/mídias sociais, como YouTube, Instagram e Facebook</t>
  </si>
  <si>
    <t>Serviço de suporte técnico para transmissão de eventos ao vivo em mídias sociais</t>
  </si>
  <si>
    <t>Diária de 24 horas</t>
  </si>
  <si>
    <t>Pedestal de Microfone de mesa</t>
  </si>
  <si>
    <t>Pedestal girafa para Microfone</t>
  </si>
  <si>
    <t>Microfone com fio, com pedestal mesa</t>
  </si>
  <si>
    <t>Microfone sem fio, com pedestal girafa</t>
  </si>
  <si>
    <t>Projetor multimídia até 3.000 ansi lumens, contraste até 2000:1, resolução de 1024x768 pixels e correção de canto</t>
  </si>
  <si>
    <t>Tela de projeção de 300 polegadas, com opção para teto ou tripé</t>
  </si>
  <si>
    <t>Estrutura “Box Truss Q 20” para afixação de backdrop</t>
  </si>
  <si>
    <t>Diária extra (estrutura já montada): estrutura “Box Truss Q 20” para afixação de backdrop</t>
  </si>
  <si>
    <t>Impressão digital em lona, vinílica ou fosca, com policromia em alta resolução, 4/0 cores, medindo 2,0m x 4,0m</t>
  </si>
  <si>
    <t>Unidade</t>
  </si>
  <si>
    <t>Backdrop com iluminação. Dimensões 4m x 4m</t>
  </si>
  <si>
    <t>Diária extra (estrutura já montada): backdrop com iluminação.</t>
  </si>
  <si>
    <t>Totem, com a confecção e impressão de painel em lona, vinílica ou fosca. Tamanho 0,80m x 1,20m</t>
  </si>
  <si>
    <t>Banner sem tripé. Tamanho 1,00m x 1,80m</t>
  </si>
  <si>
    <t>Porta-banner (tripé). Dimensões: fechado: 1,25m; aberto: 2,15m; dist. do chão:0,15m</t>
  </si>
  <si>
    <t>Diária de 6 horas</t>
  </si>
  <si>
    <t>Recepcionista</t>
  </si>
  <si>
    <t>Cerimonialista</t>
  </si>
  <si>
    <t>Garçom</t>
  </si>
  <si>
    <t>Receptivo em aeroporto</t>
  </si>
  <si>
    <t>Metro linear</t>
  </si>
  <si>
    <t>Arranjo de flores grande, comprimento por metro linear, para mesa de honra com 20cm de altura. Quantidade mínima de 15 (quinze) flores nobres.</t>
  </si>
  <si>
    <t>Arranjo de flores grande, comprimento por metro linear, para mesa de honra com 60 cm de altura. Quantidade mínima de 20 (vinte) flores nobres.</t>
  </si>
  <si>
    <t>Arranjo de flores médio para mesa de honra. Quantidade mínima de 15 (quinze) flores nobres. Medidas: 60cm de largura e 60cm de altura</t>
  </si>
  <si>
    <t>Arranjo de flores médio para hall de entrada. Quantidade mínima de 20 (vinte) flores nobres. Medidas: 60cm de largura e 80cm de altura.</t>
  </si>
  <si>
    <t>Arranjo de flores pequeno para mesa de honra. Quantidade mínima de 15 (quinze) flores nobres. Medidas: 40cm de largura e 50cm de altura.</t>
  </si>
  <si>
    <t>Arranjo de flores pequeno para mesa. Quantidade mínima de 8 (oito) flores nobres. Medidas: 20 cm de largura e 15 cm de altura.</t>
  </si>
  <si>
    <t>AMBP PROMOCOES E EVENTOS EMPRESARIAIS LTDA</t>
  </si>
  <si>
    <t>APX PRODUCOES E EVENTOS LTDA</t>
  </si>
  <si>
    <t>B2 HOTEIS TURISMO &amp; EVENTOS LTDA</t>
  </si>
  <si>
    <t>BRASITUR EVENTOS E TURISMO LTDA</t>
  </si>
  <si>
    <t>DF TURISMO E EVENTOS LTDA</t>
  </si>
  <si>
    <t>DKS PROMOCOES E EVENTOS LTDA</t>
  </si>
  <si>
    <t>L. A. PEREIRA PRODUCOES LTDA</t>
  </si>
  <si>
    <t>MAGNI &amp; A.R PRODUCOES E SHOWS LTDA</t>
  </si>
  <si>
    <t>SOLUCTION LOGISTICA E EVENTOS LTDA</t>
  </si>
  <si>
    <t>C2 GESTAO &amp; PRODUCAO DE EVENTOS LTDA</t>
  </si>
  <si>
    <t>EVENTUAL LIVE MARKETING LTDA</t>
  </si>
  <si>
    <t>NOVAS IDEIAS ENTRETENIMENTOS LTDA</t>
  </si>
  <si>
    <t>UNA COMUNICACAO E PARTICIPACOES LTDA</t>
  </si>
  <si>
    <t>WELCOME SERVICOS E EVENTOS LTDA</t>
  </si>
  <si>
    <t>AGENCIA DE COMUNICACAO INTEGRA LTDA</t>
  </si>
  <si>
    <t>TARGET PRODUCOES E EVENTOS LTDA</t>
  </si>
  <si>
    <t>PERSONALITE TRAVEL TURISMO E EVENTOS LTDA</t>
  </si>
  <si>
    <t>SGA TUDO PARA SEU EVENTO LTDA</t>
  </si>
  <si>
    <t>39.874.744 DIEGO VIEIRA DA SILVA</t>
  </si>
  <si>
    <t>OKALANGO EVENTOS LTDA</t>
  </si>
  <si>
    <t>ATIVA COMERCIO E ESTRUTURAS LTDA</t>
  </si>
  <si>
    <t>NUCLEO DA CRIACAO MARKETING E EVENTOS LTDA</t>
  </si>
  <si>
    <t>EXO COMPANY PARTICIPACOES LTDA</t>
  </si>
  <si>
    <t>44.411.531 TAINARA ARRUDA CARDOZO</t>
  </si>
  <si>
    <t>A&amp;C EVENTOS E PROMOCOES LTDA</t>
  </si>
  <si>
    <t>AGROBERTONI SERVICOS EM AGROPECUARIA LTDA</t>
  </si>
  <si>
    <t>BARRA LIVRE EVENTOS E PROMOCOES LTDA</t>
  </si>
  <si>
    <t>EXEMPLUS AGENCIA DE VIAGENS E TURISMO LTDA</t>
  </si>
  <si>
    <t>FELIPE NORIS DANIEL</t>
  </si>
  <si>
    <t>GAUCHE PROMOCOES E EVENTOS LTDA</t>
  </si>
  <si>
    <t>LUMINAR EVENTOS E COMUNICACAO LTDA</t>
  </si>
  <si>
    <t>MVS DIGITAL LTDA</t>
  </si>
  <si>
    <t>OPS - ORGANIZACAO, PROMOCAO E SERVICOS EM EVENTOS LTDA</t>
  </si>
  <si>
    <t>PROMOVA EVENTOS E ALIMENTACAO LTDA</t>
  </si>
  <si>
    <t>AMAZONIA BR SERVICOS ALIMENTACAO LTDA</t>
  </si>
  <si>
    <t>BUZZLINE SERVICOS, ENTRETENIMENTO E PRODUCAO LTDA</t>
  </si>
  <si>
    <t>CONECCT MARKETING E EVENTOS LTDA</t>
  </si>
  <si>
    <t>ENGENHARIA DE EVENTOS LTDA</t>
  </si>
  <si>
    <t>H &amp; L PROMOCOES, EVENTOS E COMUNICACAO LTDA</t>
  </si>
  <si>
    <t>ILHA DOS SABORES GASTRONOMIA E EVENTOS LTDA</t>
  </si>
  <si>
    <t>LUMINAR EVENTOS E COMUNICACAOLTDA</t>
  </si>
  <si>
    <t>ORGANIZA EVENTOS LTDA</t>
  </si>
  <si>
    <t>Q50 EVENTOS LTDA</t>
  </si>
  <si>
    <t>TIRIVA PUBLICIDADE E PROPAGANDA LTDA</t>
  </si>
  <si>
    <t>AFIX SOLUCOES EMPRESARIAS E GOVERNAMENTAIS LTDA</t>
  </si>
  <si>
    <t>BUREAU BSB GRAFICA DIGITAL LTDA</t>
  </si>
  <si>
    <t>CONTCORTE SERVICOS GRAFICOS E COMUNICACAO VISUAL LTDA</t>
  </si>
  <si>
    <t>CR COMERCIO E SERVICOS PUBLICITARIOS LTDA</t>
  </si>
  <si>
    <t>D'COLAR GRAFICA E ETIQUETAS LTDA</t>
  </si>
  <si>
    <t>DOUGLAS S. PAZINATO</t>
  </si>
  <si>
    <t>G.M DE BARROS LTDA</t>
  </si>
  <si>
    <t>HMH SOLUCOES GRAFICAS - LTDA</t>
  </si>
  <si>
    <t>INOVE PRODUCAO DE EVENTOS E SHOW BAR LTDA</t>
  </si>
  <si>
    <t>M P LETREIROS E BRINDES LTDA</t>
  </si>
  <si>
    <t>PRO VIDEO LOCACAO E EVENTOS LTDA</t>
  </si>
  <si>
    <t>SMART PROMOCOES E EVENTOS LTDA</t>
  </si>
  <si>
    <t>TT PRODUCOES E EVENTOS LTDA</t>
  </si>
  <si>
    <t>VERTENTE EMPREENDIMENTOS COMERCIAIS E EVENTOS LTDA</t>
  </si>
  <si>
    <t>qtde lotes</t>
  </si>
  <si>
    <t>total lote</t>
  </si>
  <si>
    <t>valor unitário</t>
  </si>
  <si>
    <t>Diária de 4 horas</t>
  </si>
  <si>
    <t>Painel de LED, por M2 (metro quadrado), com a devida estrutura de fixação e acabamento em tecido.</t>
  </si>
  <si>
    <t>J. FRANCISCO S. DE ARAUJO</t>
  </si>
  <si>
    <t>LINIK MONTAGENS &amp; EVENTOS LTDA</t>
  </si>
  <si>
    <t>M N DE O RIBEIRO CONSULTORIA</t>
  </si>
  <si>
    <t>W P RODRIGUES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</si>
</sst>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44" fontId="8" fillId="2" borderId="1" xfId="1" applyFont="1" applyFill="1" applyBorder="1" applyAlignment="1">
      <alignment horizontal="center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right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8" fillId="2" borderId="4" xfId="0" applyFont="1" applyFill="1" applyBorder="1" applyAlignment="1">
      <alignment horizontal="right" shrinkToFit="1"/>
    </xf>
    <xf numFmtId="0" fontId="8" fillId="2" borderId="5" xfId="0" applyFont="1" applyFill="1" applyBorder="1" applyAlignment="1">
      <alignment horizontal="right" shrinkToFi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</v>
      </c>
      <c r="B3" s="30" t="s">
        <v>59</v>
      </c>
      <c r="C3" s="32" t="s">
        <v>155</v>
      </c>
      <c r="D3" s="35">
        <v>14</v>
      </c>
      <c r="E3" s="36">
        <f>IF(C20&lt;=25%,D20,MIN(E20:F20))</f>
        <v>1200</v>
      </c>
      <c r="F3" s="36">
        <f>MIN(H3:H17)</f>
        <v>224</v>
      </c>
      <c r="G3" s="5" t="s">
        <v>94</v>
      </c>
      <c r="H3" s="16">
        <f>10000*4</f>
        <v>40000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56*4</f>
        <v>224</v>
      </c>
      <c r="I4" s="17">
        <f t="shared" ref="I4:I17" si="0">IF(H4="","",(IF($C$20&lt;25%,"n/a",IF(H4&lt;=($D$20+$A$20),H4,"Descartado"))))</f>
        <v>224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250*4</f>
        <v>1000</v>
      </c>
      <c r="I5" s="17">
        <f t="shared" si="0"/>
        <v>1000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1196.8*4</f>
        <v>4787.2</v>
      </c>
      <c r="I6" s="17">
        <f t="shared" si="0"/>
        <v>4787.2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300*4</f>
        <v>1200</v>
      </c>
      <c r="I7" s="17">
        <f t="shared" si="0"/>
        <v>1200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900*4</f>
        <v>3600</v>
      </c>
      <c r="I8" s="17">
        <f t="shared" si="0"/>
        <v>3600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1600*4</f>
        <v>6400</v>
      </c>
      <c r="I9" s="17">
        <f t="shared" si="0"/>
        <v>6400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300*4</f>
        <v>1200</v>
      </c>
      <c r="I10" s="17">
        <f t="shared" si="0"/>
        <v>1200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300*4</f>
        <v>1200</v>
      </c>
      <c r="I11" s="17">
        <f t="shared" si="0"/>
        <v>1200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12685.496953608084</v>
      </c>
      <c r="B20" s="8">
        <f>COUNT(H3:H17)</f>
        <v>9</v>
      </c>
      <c r="C20" s="9">
        <f>IF(B20&lt;2,"n/a",(A20/D20))</f>
        <v>1.9152343037121153</v>
      </c>
      <c r="D20" s="10">
        <f>IFERROR(ROUND(AVERAGE(H3:H17),2),"")</f>
        <v>6623.47</v>
      </c>
      <c r="E20" s="15">
        <f>IFERROR(ROUND(IF(B20&lt;2,"n/a",(IF(C20&lt;=25%,"n/a",AVERAGE(I3:I17)))),2),"n/a")</f>
        <v>2451.4</v>
      </c>
      <c r="F20" s="10">
        <f>IFERROR(ROUND(MEDIAN(H3:H17),2),"")</f>
        <v>1200</v>
      </c>
      <c r="G20" s="11" t="str">
        <f>IFERROR(INDEX(G3:G17,MATCH(H20,H3:H17,0)),"")</f>
        <v>APX PRODUCOES E EVENTOS LTDA</v>
      </c>
      <c r="H20" s="12">
        <f>F3</f>
        <v>224</v>
      </c>
    </row>
    <row r="22" spans="1:9" x14ac:dyDescent="0.25">
      <c r="G22" s="13" t="s">
        <v>19</v>
      </c>
      <c r="H22" s="14">
        <f>IF(C20&lt;=25%,D20,MIN(E20:F20))</f>
        <v>1200</v>
      </c>
    </row>
    <row r="23" spans="1:9" x14ac:dyDescent="0.25">
      <c r="G23" s="13" t="s">
        <v>5</v>
      </c>
      <c r="H23" s="14">
        <f>ROUND(H22,2)*D3</f>
        <v>16800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10</v>
      </c>
      <c r="B3" s="30" t="s">
        <v>68</v>
      </c>
      <c r="C3" s="32" t="s">
        <v>66</v>
      </c>
      <c r="D3" s="35">
        <v>6</v>
      </c>
      <c r="E3" s="36">
        <f>IF(C20&lt;=25%,D20,MIN(E20:F20))</f>
        <v>100</v>
      </c>
      <c r="F3" s="36">
        <f>MIN(H3:H17)</f>
        <v>5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5</v>
      </c>
      <c r="I4" s="17">
        <f t="shared" ref="I4:I17" si="0">IF(H4="","",(IF($C$20&lt;25%,"n/a",IF(H4&lt;=($D$20+$A$20),H4,"Descartado"))))</f>
        <v>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200</v>
      </c>
      <c r="I5" s="17">
        <f t="shared" si="0"/>
        <v>200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98.8</v>
      </c>
      <c r="I6" s="17">
        <f t="shared" si="0"/>
        <v>98.8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100</v>
      </c>
      <c r="I7" s="17">
        <f t="shared" si="0"/>
        <v>100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500</v>
      </c>
      <c r="I8" s="17">
        <f t="shared" si="0"/>
        <v>500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52.5</v>
      </c>
      <c r="I9" s="17">
        <f t="shared" si="0"/>
        <v>52.5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500</v>
      </c>
      <c r="I10" s="17">
        <f t="shared" si="0"/>
        <v>500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30</v>
      </c>
      <c r="I11" s="17">
        <f t="shared" si="0"/>
        <v>30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3276.8885490321118</v>
      </c>
      <c r="B20" s="8">
        <f>COUNT(H3:H17)</f>
        <v>9</v>
      </c>
      <c r="C20" s="9">
        <f>IF(B20&lt;2,"n/a",(A20/D20))</f>
        <v>2.5675713013274035</v>
      </c>
      <c r="D20" s="10">
        <f>IFERROR(ROUND(AVERAGE(H3:H17),2),"")</f>
        <v>1276.26</v>
      </c>
      <c r="E20" s="15">
        <f>IFERROR(ROUND(IF(B20&lt;2,"n/a",(IF(C20&lt;=25%,"n/a",AVERAGE(I3:I17)))),2),"n/a")</f>
        <v>185.79</v>
      </c>
      <c r="F20" s="10">
        <f>IFERROR(ROUND(MEDIAN(H3:H17),2),"")</f>
        <v>100</v>
      </c>
      <c r="G20" s="11" t="str">
        <f>IFERROR(INDEX(G3:G17,MATCH(H20,H3:H17,0)),"")</f>
        <v>APX PRODUCOES E EVENTOS LTDA</v>
      </c>
      <c r="H20" s="12">
        <f>F3</f>
        <v>5</v>
      </c>
    </row>
    <row r="22" spans="1:9" x14ac:dyDescent="0.25">
      <c r="G22" s="13" t="s">
        <v>19</v>
      </c>
      <c r="H22" s="14">
        <f>IF(C20&lt;=25%,D20,MIN(E20:F20))</f>
        <v>100</v>
      </c>
    </row>
    <row r="23" spans="1:9" x14ac:dyDescent="0.25">
      <c r="G23" s="13" t="s">
        <v>5</v>
      </c>
      <c r="H23" s="14">
        <f>ROUND(H22,2)*D3</f>
        <v>600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11</v>
      </c>
      <c r="B3" s="30" t="s">
        <v>69</v>
      </c>
      <c r="C3" s="32" t="s">
        <v>66</v>
      </c>
      <c r="D3" s="35">
        <v>6</v>
      </c>
      <c r="E3" s="36">
        <f>IF(C20&lt;=25%,D20,MIN(E20:F20))</f>
        <v>219.73</v>
      </c>
      <c r="F3" s="36">
        <f>MIN(H3:H17)</f>
        <v>16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16</v>
      </c>
      <c r="I4" s="17">
        <f t="shared" ref="I4:I17" si="0">IF(H4="","",(IF($C$20&lt;25%,"n/a",IF(H4&lt;=($D$20+$A$20),H4,"Descartado"))))</f>
        <v>16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250</v>
      </c>
      <c r="I5" s="17">
        <f t="shared" si="0"/>
        <v>250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201.8</v>
      </c>
      <c r="I6" s="17">
        <f t="shared" si="0"/>
        <v>201.8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250</v>
      </c>
      <c r="I7" s="17">
        <f t="shared" si="0"/>
        <v>250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350</v>
      </c>
      <c r="I8" s="17">
        <f t="shared" si="0"/>
        <v>350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90</v>
      </c>
      <c r="I9" s="17">
        <f t="shared" si="0"/>
        <v>90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500</v>
      </c>
      <c r="I10" s="17">
        <f t="shared" si="0"/>
        <v>500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100</v>
      </c>
      <c r="I11" s="17">
        <f t="shared" si="0"/>
        <v>100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3263.3557888229784</v>
      </c>
      <c r="B20" s="8">
        <f>COUNT(H3:H17)</f>
        <v>9</v>
      </c>
      <c r="C20" s="9">
        <f>IF(B20&lt;2,"n/a",(A20/D20))</f>
        <v>2.4979377143820352</v>
      </c>
      <c r="D20" s="10">
        <f>IFERROR(ROUND(AVERAGE(H3:H17),2),"")</f>
        <v>1306.42</v>
      </c>
      <c r="E20" s="15">
        <f>IFERROR(ROUND(IF(B20&lt;2,"n/a",(IF(C20&lt;=25%,"n/a",AVERAGE(I3:I17)))),2),"n/a")</f>
        <v>219.73</v>
      </c>
      <c r="F20" s="10">
        <f>IFERROR(ROUND(MEDIAN(H3:H17),2),"")</f>
        <v>250</v>
      </c>
      <c r="G20" s="11" t="str">
        <f>IFERROR(INDEX(G3:G17,MATCH(H20,H3:H17,0)),"")</f>
        <v>APX PRODUCOES E EVENTOS LTDA</v>
      </c>
      <c r="H20" s="12">
        <f>F3</f>
        <v>16</v>
      </c>
    </row>
    <row r="22" spans="1:9" x14ac:dyDescent="0.25">
      <c r="G22" s="13" t="s">
        <v>19</v>
      </c>
      <c r="H22" s="14">
        <f>IF(C20&lt;=25%,D20,MIN(E20:F20))</f>
        <v>219.73</v>
      </c>
    </row>
    <row r="23" spans="1:9" x14ac:dyDescent="0.25">
      <c r="G23" s="13" t="s">
        <v>5</v>
      </c>
      <c r="H23" s="14">
        <f>ROUND(H22,2)*D3</f>
        <v>1318.3799999999999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12</v>
      </c>
      <c r="B3" s="30" t="s">
        <v>70</v>
      </c>
      <c r="C3" s="32" t="s">
        <v>66</v>
      </c>
      <c r="D3" s="35">
        <v>6</v>
      </c>
      <c r="E3" s="36">
        <f>IF(C20&lt;=25%,D20,MIN(E20:F20))</f>
        <v>241.88</v>
      </c>
      <c r="F3" s="36">
        <f>MIN(H3:H17)</f>
        <v>11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11</v>
      </c>
      <c r="I4" s="17">
        <f t="shared" ref="I4:I17" si="0">IF(H4="","",(IF($C$20&lt;25%,"n/a",IF(H4&lt;=($D$20+$A$20),H4,"Descartado"))))</f>
        <v>11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250</v>
      </c>
      <c r="I5" s="17">
        <f t="shared" si="0"/>
        <v>250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284</v>
      </c>
      <c r="I6" s="17">
        <f t="shared" si="0"/>
        <v>284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220</v>
      </c>
      <c r="I7" s="17">
        <f t="shared" si="0"/>
        <v>220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350</v>
      </c>
      <c r="I8" s="17">
        <f t="shared" si="0"/>
        <v>350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270</v>
      </c>
      <c r="I9" s="17">
        <f t="shared" si="0"/>
        <v>270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450</v>
      </c>
      <c r="I10" s="17">
        <f t="shared" si="0"/>
        <v>450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100</v>
      </c>
      <c r="I11" s="17">
        <f t="shared" si="0"/>
        <v>100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3255.2350316238476</v>
      </c>
      <c r="B20" s="8">
        <f>COUNT(H3:H17)</f>
        <v>9</v>
      </c>
      <c r="C20" s="9">
        <f>IF(B20&lt;2,"n/a",(A20/D20))</f>
        <v>2.4547247450240537</v>
      </c>
      <c r="D20" s="10">
        <f>IFERROR(ROUND(AVERAGE(H3:H17),2),"")</f>
        <v>1326.11</v>
      </c>
      <c r="E20" s="15">
        <f>IFERROR(ROUND(IF(B20&lt;2,"n/a",(IF(C20&lt;=25%,"n/a",AVERAGE(I3:I17)))),2),"n/a")</f>
        <v>241.88</v>
      </c>
      <c r="F20" s="10">
        <f>IFERROR(ROUND(MEDIAN(H3:H17),2),"")</f>
        <v>270</v>
      </c>
      <c r="G20" s="11" t="str">
        <f>IFERROR(INDEX(G3:G17,MATCH(H20,H3:H17,0)),"")</f>
        <v>APX PRODUCOES E EVENTOS LTDA</v>
      </c>
      <c r="H20" s="12">
        <f>F3</f>
        <v>11</v>
      </c>
    </row>
    <row r="22" spans="1:9" x14ac:dyDescent="0.25">
      <c r="G22" s="13" t="s">
        <v>19</v>
      </c>
      <c r="H22" s="14">
        <f>IF(C20&lt;=25%,D20,MIN(E20:F20))</f>
        <v>241.88</v>
      </c>
    </row>
    <row r="23" spans="1:9" x14ac:dyDescent="0.25">
      <c r="G23" s="13" t="s">
        <v>5</v>
      </c>
      <c r="H23" s="14">
        <f>ROUND(H22,2)*D3</f>
        <v>1451.28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13</v>
      </c>
      <c r="B3" s="30" t="s">
        <v>71</v>
      </c>
      <c r="C3" s="32" t="s">
        <v>66</v>
      </c>
      <c r="D3" s="35">
        <v>6</v>
      </c>
      <c r="E3" s="36">
        <f>IF(C20&lt;=25%,D20,MIN(E20:F20))</f>
        <v>675</v>
      </c>
      <c r="F3" s="36">
        <f>MIN(H3:H17)</f>
        <v>15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15</v>
      </c>
      <c r="I4" s="17">
        <f t="shared" ref="I4:I17" si="0">IF(H4="","",(IF($C$20&lt;25%,"n/a",IF(H4&lt;=($D$20+$A$20),H4,"Descartado"))))</f>
        <v>15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4000</v>
      </c>
      <c r="I5" s="17">
        <f t="shared" si="0"/>
        <v>4000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524.4</v>
      </c>
      <c r="I6" s="17">
        <f t="shared" si="0"/>
        <v>524.4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500</v>
      </c>
      <c r="I7" s="17">
        <f t="shared" si="0"/>
        <v>500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1200</v>
      </c>
      <c r="I8" s="17">
        <f t="shared" si="0"/>
        <v>1200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675</v>
      </c>
      <c r="I9" s="17">
        <f t="shared" si="0"/>
        <v>675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3000</v>
      </c>
      <c r="I10" s="17">
        <f t="shared" si="0"/>
        <v>3000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150</v>
      </c>
      <c r="I11" s="17">
        <f t="shared" si="0"/>
        <v>150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3215.4357767563083</v>
      </c>
      <c r="B20" s="8">
        <f>COUNT(H3:H17)</f>
        <v>9</v>
      </c>
      <c r="C20" s="9">
        <f>IF(B20&lt;2,"n/a",(A20/D20))</f>
        <v>1.4423004497915601</v>
      </c>
      <c r="D20" s="10">
        <f>IFERROR(ROUND(AVERAGE(H3:H17),2),"")</f>
        <v>2229.38</v>
      </c>
      <c r="E20" s="15">
        <f>IFERROR(ROUND(IF(B20&lt;2,"n/a",(IF(C20&lt;=25%,"n/a",AVERAGE(I3:I17)))),2),"n/a")</f>
        <v>1258.05</v>
      </c>
      <c r="F20" s="10">
        <f>IFERROR(ROUND(MEDIAN(H3:H17),2),"")</f>
        <v>675</v>
      </c>
      <c r="G20" s="11" t="str">
        <f>IFERROR(INDEX(G3:G17,MATCH(H20,H3:H17,0)),"")</f>
        <v>APX PRODUCOES E EVENTOS LTDA</v>
      </c>
      <c r="H20" s="12">
        <f>F3</f>
        <v>15</v>
      </c>
    </row>
    <row r="22" spans="1:9" x14ac:dyDescent="0.25">
      <c r="G22" s="13" t="s">
        <v>19</v>
      </c>
      <c r="H22" s="14">
        <f>IF(C20&lt;=25%,D20,MIN(E20:F20))</f>
        <v>675</v>
      </c>
    </row>
    <row r="23" spans="1:9" x14ac:dyDescent="0.25">
      <c r="G23" s="13" t="s">
        <v>5</v>
      </c>
      <c r="H23" s="14">
        <f>ROUND(H22,2)*D3</f>
        <v>4050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14</v>
      </c>
      <c r="B3" s="30" t="s">
        <v>72</v>
      </c>
      <c r="C3" s="32" t="s">
        <v>66</v>
      </c>
      <c r="D3" s="35">
        <v>6</v>
      </c>
      <c r="E3" s="36">
        <f>IF(C20&lt;=25%,D20,MIN(E20:F20))</f>
        <v>1000</v>
      </c>
      <c r="F3" s="36">
        <f>MIN(H3:H17)</f>
        <v>22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22</v>
      </c>
      <c r="I4" s="17">
        <f t="shared" ref="I4:I17" si="0">IF(H4="","",(IF($C$20&lt;25%,"n/a",IF(H4&lt;=($D$20+$A$20),H4,"Descartado"))))</f>
        <v>22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3000</v>
      </c>
      <c r="I5" s="17">
        <f t="shared" si="0"/>
        <v>3000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964.8</v>
      </c>
      <c r="I6" s="17">
        <f t="shared" si="0"/>
        <v>964.8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1000</v>
      </c>
      <c r="I7" s="17">
        <f t="shared" si="0"/>
        <v>1000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3200</v>
      </c>
      <c r="I8" s="17">
        <f t="shared" si="0"/>
        <v>3200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525</v>
      </c>
      <c r="I9" s="17">
        <f t="shared" si="0"/>
        <v>525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2500</v>
      </c>
      <c r="I10" s="17">
        <f t="shared" si="0"/>
        <v>2500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150</v>
      </c>
      <c r="I11" s="17">
        <f t="shared" si="0"/>
        <v>150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3102.7508697928038</v>
      </c>
      <c r="B20" s="8">
        <f>COUNT(H3:H17)</f>
        <v>9</v>
      </c>
      <c r="C20" s="9">
        <f>IF(B20&lt;2,"n/a",(A20/D20))</f>
        <v>1.3072305257539629</v>
      </c>
      <c r="D20" s="10">
        <f>IFERROR(ROUND(AVERAGE(H3:H17),2),"")</f>
        <v>2373.5300000000002</v>
      </c>
      <c r="E20" s="15">
        <f>IFERROR(ROUND(IF(B20&lt;2,"n/a",(IF(C20&lt;=25%,"n/a",AVERAGE(I3:I17)))),2),"n/a")</f>
        <v>1420.23</v>
      </c>
      <c r="F20" s="10">
        <f>IFERROR(ROUND(MEDIAN(H3:H17),2),"")</f>
        <v>1000</v>
      </c>
      <c r="G20" s="11" t="str">
        <f>IFERROR(INDEX(G3:G17,MATCH(H20,H3:H17,0)),"")</f>
        <v>APX PRODUCOES E EVENTOS LTDA</v>
      </c>
      <c r="H20" s="12">
        <f>F3</f>
        <v>22</v>
      </c>
    </row>
    <row r="22" spans="1:9" x14ac:dyDescent="0.25">
      <c r="G22" s="13" t="s">
        <v>19</v>
      </c>
      <c r="H22" s="14">
        <f>IF(C20&lt;=25%,D20,MIN(E20:F20))</f>
        <v>1000</v>
      </c>
    </row>
    <row r="23" spans="1:9" x14ac:dyDescent="0.25">
      <c r="G23" s="13" t="s">
        <v>5</v>
      </c>
      <c r="H23" s="14">
        <f>ROUND(H22,2)*D3</f>
        <v>6000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15</v>
      </c>
      <c r="B3" s="30" t="s">
        <v>73</v>
      </c>
      <c r="C3" s="32" t="s">
        <v>66</v>
      </c>
      <c r="D3" s="35">
        <v>10</v>
      </c>
      <c r="E3" s="36">
        <f>IF(C20&lt;=25%,D20,MIN(E20:F20))</f>
        <v>944.02</v>
      </c>
      <c r="F3" s="36">
        <f>MIN(H3:H17)</f>
        <v>720</v>
      </c>
      <c r="G3" s="5" t="s">
        <v>138</v>
      </c>
      <c r="H3" s="16">
        <f>106.44*12</f>
        <v>1277.28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97</v>
      </c>
      <c r="H4" s="16">
        <f>95.59*12</f>
        <v>1147.08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139</v>
      </c>
      <c r="H5" s="16">
        <f>93*12</f>
        <v>1116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140</v>
      </c>
      <c r="H6" s="16">
        <f>66*12</f>
        <v>792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141</v>
      </c>
      <c r="H7" s="16">
        <f>80*12</f>
        <v>960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142</v>
      </c>
      <c r="H8" s="16">
        <f>60*12</f>
        <v>720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143</v>
      </c>
      <c r="H9" s="16">
        <f>70*12</f>
        <v>840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144</v>
      </c>
      <c r="H10" s="16">
        <f>62*12</f>
        <v>744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145</v>
      </c>
      <c r="H11" s="16">
        <f>85*12</f>
        <v>1020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 t="s">
        <v>146</v>
      </c>
      <c r="H12" s="16">
        <f>74*12</f>
        <v>888</v>
      </c>
      <c r="I12" s="17" t="str">
        <f t="shared" si="0"/>
        <v>n/a</v>
      </c>
    </row>
    <row r="13" spans="1:9" x14ac:dyDescent="0.25">
      <c r="A13" s="37"/>
      <c r="B13" s="31"/>
      <c r="C13" s="33"/>
      <c r="D13" s="35"/>
      <c r="E13" s="36"/>
      <c r="F13" s="36"/>
      <c r="G13" s="5" t="s">
        <v>147</v>
      </c>
      <c r="H13" s="16">
        <f>70*12</f>
        <v>840</v>
      </c>
      <c r="I13" s="17" t="str">
        <f t="shared" si="0"/>
        <v>n/a</v>
      </c>
    </row>
    <row r="14" spans="1:9" x14ac:dyDescent="0.25">
      <c r="A14" s="37"/>
      <c r="B14" s="31"/>
      <c r="C14" s="33"/>
      <c r="D14" s="35"/>
      <c r="E14" s="36"/>
      <c r="F14" s="36"/>
      <c r="G14" s="5" t="s">
        <v>148</v>
      </c>
      <c r="H14" s="16">
        <f>79*12</f>
        <v>948</v>
      </c>
      <c r="I14" s="17" t="str">
        <f t="shared" si="0"/>
        <v>n/a</v>
      </c>
    </row>
    <row r="15" spans="1:9" x14ac:dyDescent="0.25">
      <c r="A15" s="37"/>
      <c r="B15" s="31"/>
      <c r="C15" s="33"/>
      <c r="D15" s="35"/>
      <c r="E15" s="36"/>
      <c r="F15" s="36"/>
      <c r="G15" s="5" t="s">
        <v>149</v>
      </c>
      <c r="H15" s="16">
        <f>79*12</f>
        <v>948</v>
      </c>
      <c r="I15" s="17" t="str">
        <f t="shared" si="0"/>
        <v>n/a</v>
      </c>
    </row>
    <row r="16" spans="1:9" x14ac:dyDescent="0.25">
      <c r="A16" s="37"/>
      <c r="B16" s="31"/>
      <c r="C16" s="33"/>
      <c r="D16" s="35"/>
      <c r="E16" s="36"/>
      <c r="F16" s="36"/>
      <c r="G16" s="5" t="s">
        <v>150</v>
      </c>
      <c r="H16" s="16">
        <f>70*12</f>
        <v>840</v>
      </c>
      <c r="I16" s="17" t="str">
        <f t="shared" si="0"/>
        <v>n/a</v>
      </c>
    </row>
    <row r="17" spans="1:9" x14ac:dyDescent="0.25">
      <c r="A17" s="37"/>
      <c r="B17" s="31"/>
      <c r="C17" s="34"/>
      <c r="D17" s="35"/>
      <c r="E17" s="36"/>
      <c r="F17" s="36"/>
      <c r="G17" s="5" t="s">
        <v>151</v>
      </c>
      <c r="H17" s="16">
        <f>90*12</f>
        <v>1080</v>
      </c>
      <c r="I17" s="17" t="str">
        <f t="shared" si="0"/>
        <v>n/a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159.31214556873641</v>
      </c>
      <c r="B20" s="8">
        <f>COUNT(H3:H17)</f>
        <v>15</v>
      </c>
      <c r="C20" s="9">
        <f>IF(B20&lt;2,"n/a",(A20/D20))</f>
        <v>0.1687592906598763</v>
      </c>
      <c r="D20" s="10">
        <f>IFERROR(ROUND(AVERAGE(H3:H17),2),"")</f>
        <v>944.02</v>
      </c>
      <c r="E20" s="15" t="str">
        <f>IFERROR(ROUND(IF(B20&lt;2,"n/a",(IF(C20&lt;=25%,"n/a",AVERAGE(I3:I17)))),2),"n/a")</f>
        <v>n/a</v>
      </c>
      <c r="F20" s="10">
        <f>IFERROR(ROUND(MEDIAN(H3:H17),2),"")</f>
        <v>948</v>
      </c>
      <c r="G20" s="11" t="str">
        <f>IFERROR(INDEX(G3:G17,MATCH(H20,H3:H17,0)),"")</f>
        <v>D'COLAR GRAFICA E ETIQUETAS LTDA</v>
      </c>
      <c r="H20" s="12">
        <f>F3</f>
        <v>720</v>
      </c>
    </row>
    <row r="22" spans="1:9" x14ac:dyDescent="0.25">
      <c r="G22" s="13" t="s">
        <v>19</v>
      </c>
      <c r="H22" s="14">
        <f>IF(C20&lt;=25%,D20,MIN(E20:F20))</f>
        <v>944.02</v>
      </c>
    </row>
    <row r="23" spans="1:9" x14ac:dyDescent="0.25">
      <c r="G23" s="13" t="s">
        <v>5</v>
      </c>
      <c r="H23" s="14">
        <f>ROUND(H22,2)*D3</f>
        <v>9440.2000000000007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sortState ref="G3:H17">
    <sortCondition ref="G3"/>
  </sortState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16</v>
      </c>
      <c r="B3" s="30" t="s">
        <v>74</v>
      </c>
      <c r="C3" s="32" t="s">
        <v>66</v>
      </c>
      <c r="D3" s="35">
        <v>3</v>
      </c>
      <c r="E3" s="36">
        <f>IF(C20&lt;=25%,D20,MIN(E20:F20))</f>
        <v>924.82</v>
      </c>
      <c r="F3" s="36">
        <f>MIN(H3:H17)</f>
        <v>660</v>
      </c>
      <c r="G3" s="5" t="s">
        <v>148</v>
      </c>
      <c r="H3" s="16">
        <f>77*12</f>
        <v>924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138</v>
      </c>
      <c r="H4" s="16">
        <f>106.44*12</f>
        <v>1277.28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151</v>
      </c>
      <c r="H5" s="16">
        <f>91*12</f>
        <v>1092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95.59*12</f>
        <v>1147.08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139</v>
      </c>
      <c r="H7" s="16">
        <f>92*12</f>
        <v>1104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140</v>
      </c>
      <c r="H8" s="16">
        <f>67*12</f>
        <v>804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141</v>
      </c>
      <c r="H9" s="16">
        <f>80*12</f>
        <v>960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142</v>
      </c>
      <c r="H10" s="16">
        <f>60*12</f>
        <v>720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143</v>
      </c>
      <c r="H11" s="16">
        <f>70*12</f>
        <v>840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 t="s">
        <v>150</v>
      </c>
      <c r="H12" s="16">
        <f>70*12</f>
        <v>840</v>
      </c>
      <c r="I12" s="17" t="str">
        <f t="shared" si="0"/>
        <v>n/a</v>
      </c>
    </row>
    <row r="13" spans="1:9" x14ac:dyDescent="0.25">
      <c r="A13" s="37"/>
      <c r="B13" s="31"/>
      <c r="C13" s="33"/>
      <c r="D13" s="35"/>
      <c r="E13" s="36"/>
      <c r="F13" s="36"/>
      <c r="G13" s="5" t="s">
        <v>149</v>
      </c>
      <c r="H13" s="16">
        <f>74*12</f>
        <v>888</v>
      </c>
      <c r="I13" s="17" t="str">
        <f t="shared" si="0"/>
        <v>n/a</v>
      </c>
    </row>
    <row r="14" spans="1:9" x14ac:dyDescent="0.25">
      <c r="A14" s="37"/>
      <c r="B14" s="31"/>
      <c r="C14" s="33"/>
      <c r="D14" s="35"/>
      <c r="E14" s="36"/>
      <c r="F14" s="36"/>
      <c r="G14" s="5" t="s">
        <v>144</v>
      </c>
      <c r="H14" s="16">
        <f>55*12</f>
        <v>660</v>
      </c>
      <c r="I14" s="17" t="str">
        <f t="shared" si="0"/>
        <v>n/a</v>
      </c>
    </row>
    <row r="15" spans="1:9" x14ac:dyDescent="0.25">
      <c r="A15" s="37"/>
      <c r="B15" s="31"/>
      <c r="C15" s="33"/>
      <c r="D15" s="35"/>
      <c r="E15" s="36"/>
      <c r="F15" s="36"/>
      <c r="G15" s="5" t="s">
        <v>145</v>
      </c>
      <c r="H15" s="16">
        <f>85*12</f>
        <v>1020</v>
      </c>
      <c r="I15" s="17" t="str">
        <f t="shared" si="0"/>
        <v>n/a</v>
      </c>
    </row>
    <row r="16" spans="1:9" x14ac:dyDescent="0.25">
      <c r="A16" s="37"/>
      <c r="B16" s="31"/>
      <c r="C16" s="33"/>
      <c r="D16" s="35"/>
      <c r="E16" s="36"/>
      <c r="F16" s="36"/>
      <c r="G16" s="5" t="s">
        <v>146</v>
      </c>
      <c r="H16" s="16">
        <f>73*12</f>
        <v>876</v>
      </c>
      <c r="I16" s="17" t="str">
        <f t="shared" si="0"/>
        <v>n/a</v>
      </c>
    </row>
    <row r="17" spans="1:9" x14ac:dyDescent="0.25">
      <c r="A17" s="37"/>
      <c r="B17" s="31"/>
      <c r="C17" s="34"/>
      <c r="D17" s="35"/>
      <c r="E17" s="36"/>
      <c r="F17" s="36"/>
      <c r="G17" s="5" t="s">
        <v>147</v>
      </c>
      <c r="H17" s="16">
        <f>60*12</f>
        <v>720</v>
      </c>
      <c r="I17" s="17" t="str">
        <f t="shared" si="0"/>
        <v>n/a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175.40509443652329</v>
      </c>
      <c r="B20" s="8">
        <f>COUNT(H3:H17)</f>
        <v>15</v>
      </c>
      <c r="C20" s="9">
        <f>IF(B20&lt;2,"n/a",(A20/D20))</f>
        <v>0.1896640367168998</v>
      </c>
      <c r="D20" s="10">
        <f>IFERROR(ROUND(AVERAGE(H3:H17),2),"")</f>
        <v>924.82</v>
      </c>
      <c r="E20" s="15" t="str">
        <f>IFERROR(ROUND(IF(B20&lt;2,"n/a",(IF(C20&lt;=25%,"n/a",AVERAGE(I3:I17)))),2),"n/a")</f>
        <v>n/a</v>
      </c>
      <c r="F20" s="10">
        <f>IFERROR(ROUND(MEDIAN(H3:H17),2),"")</f>
        <v>888</v>
      </c>
      <c r="G20" s="11" t="str">
        <f>IFERROR(INDEX(G3:G17,MATCH(H20,H3:H17,0)),"")</f>
        <v>G.M DE BARROS LTDA</v>
      </c>
      <c r="H20" s="12">
        <f>F3</f>
        <v>660</v>
      </c>
    </row>
    <row r="22" spans="1:9" x14ac:dyDescent="0.25">
      <c r="G22" s="13" t="s">
        <v>19</v>
      </c>
      <c r="H22" s="14">
        <f>IF(C20&lt;=25%,D20,MIN(E20:F20))</f>
        <v>924.82</v>
      </c>
    </row>
    <row r="23" spans="1:9" x14ac:dyDescent="0.25">
      <c r="G23" s="13" t="s">
        <v>5</v>
      </c>
      <c r="H23" s="14">
        <f>ROUND(H22,2)*D3</f>
        <v>2774.46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17</v>
      </c>
      <c r="B3" s="30" t="s">
        <v>75</v>
      </c>
      <c r="C3" s="32" t="s">
        <v>76</v>
      </c>
      <c r="D3" s="35">
        <v>10</v>
      </c>
      <c r="E3" s="36">
        <f>IF(C20&lt;=25%,D20,MIN(E20:F20))</f>
        <v>960</v>
      </c>
      <c r="F3" s="36">
        <f>MIN(H3:H17)</f>
        <v>80</v>
      </c>
      <c r="G3" s="5" t="s">
        <v>94</v>
      </c>
      <c r="H3" s="16">
        <f>10000*8</f>
        <v>80000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10*8</f>
        <v>80</v>
      </c>
      <c r="I4" s="17">
        <f t="shared" ref="I4:I17" si="0">IF(H4="","",(IF($C$20&lt;25%,"n/a",IF(H4&lt;=($D$20+$A$20),H4,"Descartado"))))</f>
        <v>80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150*8</f>
        <v>1200</v>
      </c>
      <c r="I5" s="17">
        <f t="shared" si="0"/>
        <v>1200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65*8</f>
        <v>520</v>
      </c>
      <c r="I6" s="17">
        <f t="shared" si="0"/>
        <v>520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81.25*8</f>
        <v>650</v>
      </c>
      <c r="I7" s="17">
        <f t="shared" si="0"/>
        <v>650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180*8</f>
        <v>1440</v>
      </c>
      <c r="I8" s="17">
        <f t="shared" si="0"/>
        <v>1440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900*8</f>
        <v>7200</v>
      </c>
      <c r="I9" s="17">
        <f t="shared" si="0"/>
        <v>7200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120*8</f>
        <v>960</v>
      </c>
      <c r="I10" s="17">
        <f t="shared" si="0"/>
        <v>960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60*8</f>
        <v>480</v>
      </c>
      <c r="I11" s="17">
        <f t="shared" si="0"/>
        <v>480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26234.265972409274</v>
      </c>
      <c r="B20" s="8">
        <f>COUNT(H3:H17)</f>
        <v>9</v>
      </c>
      <c r="C20" s="9">
        <f>IF(B20&lt;2,"n/a",(A20/D20))</f>
        <v>2.551695874512506</v>
      </c>
      <c r="D20" s="10">
        <f>IFERROR(ROUND(AVERAGE(H3:H17),2),"")</f>
        <v>10281.11</v>
      </c>
      <c r="E20" s="15">
        <f>IFERROR(ROUND(IF(B20&lt;2,"n/a",(IF(C20&lt;=25%,"n/a",AVERAGE(I3:I17)))),2),"n/a")</f>
        <v>1566.25</v>
      </c>
      <c r="F20" s="10">
        <f>IFERROR(ROUND(MEDIAN(H3:H17),2),"")</f>
        <v>960</v>
      </c>
      <c r="G20" s="11" t="str">
        <f>IFERROR(INDEX(G3:G17,MATCH(H20,H3:H17,0)),"")</f>
        <v>APX PRODUCOES E EVENTOS LTDA</v>
      </c>
      <c r="H20" s="12">
        <f>F3</f>
        <v>80</v>
      </c>
    </row>
    <row r="22" spans="1:9" x14ac:dyDescent="0.25">
      <c r="G22" s="13" t="s">
        <v>19</v>
      </c>
      <c r="H22" s="14">
        <f>IF(C20&lt;=25%,D20,MIN(E20:F20))</f>
        <v>960</v>
      </c>
    </row>
    <row r="23" spans="1:9" x14ac:dyDescent="0.25">
      <c r="G23" s="13" t="s">
        <v>5</v>
      </c>
      <c r="H23" s="14">
        <f>ROUND(H22,2)*D3</f>
        <v>9600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18</v>
      </c>
      <c r="B3" s="30" t="s">
        <v>77</v>
      </c>
      <c r="C3" s="32" t="s">
        <v>66</v>
      </c>
      <c r="D3" s="35">
        <v>8</v>
      </c>
      <c r="E3" s="36">
        <f>IF(C20&lt;=25%,D20,MIN(E20:F20))</f>
        <v>2400</v>
      </c>
      <c r="F3" s="36">
        <f>MIN(H3:H17)</f>
        <v>160</v>
      </c>
      <c r="G3" s="5" t="s">
        <v>94</v>
      </c>
      <c r="H3" s="16">
        <f>10000*16</f>
        <v>160000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10*16</f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150*16</f>
        <v>2400</v>
      </c>
      <c r="I5" s="17">
        <f t="shared" si="0"/>
        <v>2400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65.2*16</f>
        <v>1043.2</v>
      </c>
      <c r="I6" s="17">
        <f t="shared" si="0"/>
        <v>1043.2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50*16</f>
        <v>800</v>
      </c>
      <c r="I7" s="17">
        <f t="shared" si="0"/>
        <v>800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230*16</f>
        <v>3680</v>
      </c>
      <c r="I8" s="17">
        <f t="shared" si="0"/>
        <v>3680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800*16</f>
        <v>12800</v>
      </c>
      <c r="I9" s="17">
        <f t="shared" si="0"/>
        <v>12800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400*16</f>
        <v>6400</v>
      </c>
      <c r="I10" s="17">
        <f t="shared" si="0"/>
        <v>6400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60*16</f>
        <v>960</v>
      </c>
      <c r="I11" s="17">
        <f t="shared" si="0"/>
        <v>960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52308.579396415567</v>
      </c>
      <c r="B20" s="8">
        <f>COUNT(H3:H17)</f>
        <v>9</v>
      </c>
      <c r="C20" s="9">
        <f>IF(B20&lt;2,"n/a",(A20/D20))</f>
        <v>2.5008990474913868</v>
      </c>
      <c r="D20" s="10">
        <f>IFERROR(ROUND(AVERAGE(H3:H17),2),"")</f>
        <v>20915.91</v>
      </c>
      <c r="E20" s="15">
        <f>IFERROR(ROUND(IF(B20&lt;2,"n/a",(IF(C20&lt;=25%,"n/a",AVERAGE(I3:I17)))),2),"n/a")</f>
        <v>3530.4</v>
      </c>
      <c r="F20" s="10">
        <f>IFERROR(ROUND(MEDIAN(H3:H17),2),"")</f>
        <v>2400</v>
      </c>
      <c r="G20" s="11" t="str">
        <f>IFERROR(INDEX(G3:G17,MATCH(H20,H3:H17,0)),"")</f>
        <v>APX PRODUCOES E EVENTOS LTDA</v>
      </c>
      <c r="H20" s="12">
        <f>F3</f>
        <v>160</v>
      </c>
    </row>
    <row r="22" spans="1:9" x14ac:dyDescent="0.25">
      <c r="G22" s="13" t="s">
        <v>19</v>
      </c>
      <c r="H22" s="14">
        <f>IF(C20&lt;=25%,D20,MIN(E20:F20))</f>
        <v>2400</v>
      </c>
    </row>
    <row r="23" spans="1:9" x14ac:dyDescent="0.25">
      <c r="G23" s="13" t="s">
        <v>5</v>
      </c>
      <c r="H23" s="14">
        <f>ROUND(H22,2)*D3</f>
        <v>19200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19</v>
      </c>
      <c r="B3" s="30" t="s">
        <v>78</v>
      </c>
      <c r="C3" s="32" t="s">
        <v>66</v>
      </c>
      <c r="D3" s="35">
        <v>2</v>
      </c>
      <c r="E3" s="36">
        <f>IF(C20&lt;=25%,D20,MIN(E20:F20))</f>
        <v>1233.0999999999999</v>
      </c>
      <c r="F3" s="36">
        <f>MIN(H3:H17)</f>
        <v>880</v>
      </c>
      <c r="G3" s="5" t="s">
        <v>148</v>
      </c>
      <c r="H3" s="16">
        <f>77*16</f>
        <v>1232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138</v>
      </c>
      <c r="H4" s="16">
        <f>106.44*16</f>
        <v>1703.04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151</v>
      </c>
      <c r="H5" s="16">
        <f>91*16</f>
        <v>1456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95.59*16</f>
        <v>1529.44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139</v>
      </c>
      <c r="H7" s="16">
        <f>92*16</f>
        <v>1472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140</v>
      </c>
      <c r="H8" s="16">
        <f>67*16</f>
        <v>1072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141</v>
      </c>
      <c r="H9" s="16">
        <f>80*16</f>
        <v>1280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142</v>
      </c>
      <c r="H10" s="16">
        <f>60*16</f>
        <v>960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143</v>
      </c>
      <c r="H11" s="16">
        <f>70*16</f>
        <v>1120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 t="s">
        <v>150</v>
      </c>
      <c r="H12" s="16">
        <f>70*16</f>
        <v>1120</v>
      </c>
      <c r="I12" s="17" t="str">
        <f t="shared" si="0"/>
        <v>n/a</v>
      </c>
    </row>
    <row r="13" spans="1:9" x14ac:dyDescent="0.25">
      <c r="A13" s="37"/>
      <c r="B13" s="31"/>
      <c r="C13" s="33"/>
      <c r="D13" s="35"/>
      <c r="E13" s="36"/>
      <c r="F13" s="36"/>
      <c r="G13" s="5" t="s">
        <v>149</v>
      </c>
      <c r="H13" s="16">
        <f>74*16</f>
        <v>1184</v>
      </c>
      <c r="I13" s="17" t="str">
        <f t="shared" si="0"/>
        <v>n/a</v>
      </c>
    </row>
    <row r="14" spans="1:9" x14ac:dyDescent="0.25">
      <c r="A14" s="37"/>
      <c r="B14" s="31"/>
      <c r="C14" s="33"/>
      <c r="D14" s="35"/>
      <c r="E14" s="36"/>
      <c r="F14" s="36"/>
      <c r="G14" s="5" t="s">
        <v>144</v>
      </c>
      <c r="H14" s="16">
        <f>55*16</f>
        <v>880</v>
      </c>
      <c r="I14" s="17" t="str">
        <f t="shared" si="0"/>
        <v>n/a</v>
      </c>
    </row>
    <row r="15" spans="1:9" x14ac:dyDescent="0.25">
      <c r="A15" s="37"/>
      <c r="B15" s="31"/>
      <c r="C15" s="33"/>
      <c r="D15" s="35"/>
      <c r="E15" s="36"/>
      <c r="F15" s="36"/>
      <c r="G15" s="5" t="s">
        <v>145</v>
      </c>
      <c r="H15" s="16">
        <f>85*16</f>
        <v>1360</v>
      </c>
      <c r="I15" s="17" t="str">
        <f t="shared" si="0"/>
        <v>n/a</v>
      </c>
    </row>
    <row r="16" spans="1:9" x14ac:dyDescent="0.25">
      <c r="A16" s="37"/>
      <c r="B16" s="31"/>
      <c r="C16" s="33"/>
      <c r="D16" s="35"/>
      <c r="E16" s="36"/>
      <c r="F16" s="36"/>
      <c r="G16" s="5" t="s">
        <v>146</v>
      </c>
      <c r="H16" s="16">
        <f>73*16</f>
        <v>1168</v>
      </c>
      <c r="I16" s="17" t="str">
        <f t="shared" si="0"/>
        <v>n/a</v>
      </c>
    </row>
    <row r="17" spans="1:9" x14ac:dyDescent="0.25">
      <c r="A17" s="37"/>
      <c r="B17" s="31"/>
      <c r="C17" s="34"/>
      <c r="D17" s="35"/>
      <c r="E17" s="36"/>
      <c r="F17" s="36"/>
      <c r="G17" s="5" t="s">
        <v>147</v>
      </c>
      <c r="H17" s="16">
        <f>60*16</f>
        <v>960</v>
      </c>
      <c r="I17" s="17" t="str">
        <f t="shared" si="0"/>
        <v>n/a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233.87345924869817</v>
      </c>
      <c r="B20" s="8">
        <f>COUNT(H3:H17)</f>
        <v>15</v>
      </c>
      <c r="C20" s="9">
        <f>IF(B20&lt;2,"n/a",(A20/D20))</f>
        <v>0.18966301131189536</v>
      </c>
      <c r="D20" s="10">
        <f>IFERROR(ROUND(AVERAGE(H3:H17),2),"")</f>
        <v>1233.0999999999999</v>
      </c>
      <c r="E20" s="15" t="str">
        <f>IFERROR(ROUND(IF(B20&lt;2,"n/a",(IF(C20&lt;=25%,"n/a",AVERAGE(I3:I17)))),2),"n/a")</f>
        <v>n/a</v>
      </c>
      <c r="F20" s="10">
        <f>IFERROR(ROUND(MEDIAN(H3:H17),2),"")</f>
        <v>1184</v>
      </c>
      <c r="G20" s="11" t="str">
        <f>IFERROR(INDEX(G3:G17,MATCH(H20,H3:H17,0)),"")</f>
        <v>G.M DE BARROS LTDA</v>
      </c>
      <c r="H20" s="12">
        <f>F3</f>
        <v>880</v>
      </c>
    </row>
    <row r="22" spans="1:9" x14ac:dyDescent="0.25">
      <c r="G22" s="13" t="s">
        <v>19</v>
      </c>
      <c r="H22" s="14">
        <f>IF(C20&lt;=25%,D20,MIN(E20:F20))</f>
        <v>1233.0999999999999</v>
      </c>
    </row>
    <row r="23" spans="1:9" x14ac:dyDescent="0.25">
      <c r="G23" s="13" t="s">
        <v>5</v>
      </c>
      <c r="H23" s="14">
        <f>ROUND(H22,2)*D3</f>
        <v>2466.1999999999998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2</v>
      </c>
      <c r="B3" s="30" t="s">
        <v>60</v>
      </c>
      <c r="C3" s="32" t="s">
        <v>155</v>
      </c>
      <c r="D3" s="35">
        <v>6</v>
      </c>
      <c r="E3" s="36">
        <f>IF(C20&lt;=25%,D20,MIN(E20:F20))</f>
        <v>2825</v>
      </c>
      <c r="F3" s="36">
        <f>MIN(H3:H17)</f>
        <v>1100</v>
      </c>
      <c r="G3" s="5" t="s">
        <v>157</v>
      </c>
      <c r="H3" s="16">
        <f>11500/2</f>
        <v>5750</v>
      </c>
      <c r="I3" s="17">
        <f>IF(H3="","",(IF($C$20&lt;25%,"n/a",IF(H3&lt;=($D$20+$A$20),H3,"Descartado"))))</f>
        <v>5750</v>
      </c>
    </row>
    <row r="4" spans="1:9" x14ac:dyDescent="0.25">
      <c r="A4" s="37"/>
      <c r="B4" s="31"/>
      <c r="C4" s="33"/>
      <c r="D4" s="35"/>
      <c r="E4" s="36"/>
      <c r="F4" s="36"/>
      <c r="G4" s="5" t="s">
        <v>158</v>
      </c>
      <c r="H4" s="16">
        <f>2200/2</f>
        <v>1100</v>
      </c>
      <c r="I4" s="17">
        <f t="shared" ref="I4:I17" si="0">IF(H4="","",(IF($C$20&lt;25%,"n/a",IF(H4&lt;=($D$20+$A$20),H4,"Descartado"))))</f>
        <v>1100</v>
      </c>
    </row>
    <row r="5" spans="1:9" x14ac:dyDescent="0.25">
      <c r="A5" s="37"/>
      <c r="B5" s="31"/>
      <c r="C5" s="33"/>
      <c r="D5" s="35"/>
      <c r="E5" s="36"/>
      <c r="F5" s="36"/>
      <c r="G5" s="5" t="s">
        <v>159</v>
      </c>
      <c r="H5" s="16">
        <f>17900/2</f>
        <v>8950</v>
      </c>
      <c r="I5" s="17" t="str">
        <f t="shared" si="0"/>
        <v>Descartado</v>
      </c>
    </row>
    <row r="6" spans="1:9" x14ac:dyDescent="0.25">
      <c r="A6" s="37"/>
      <c r="B6" s="31"/>
      <c r="C6" s="33"/>
      <c r="D6" s="35"/>
      <c r="E6" s="36"/>
      <c r="F6" s="36"/>
      <c r="G6" s="5" t="s">
        <v>160</v>
      </c>
      <c r="H6" s="16">
        <f>3250/2</f>
        <v>1625</v>
      </c>
      <c r="I6" s="17">
        <f t="shared" si="0"/>
        <v>1625</v>
      </c>
    </row>
    <row r="7" spans="1:9" x14ac:dyDescent="0.25">
      <c r="A7" s="37"/>
      <c r="B7" s="31"/>
      <c r="C7" s="33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1"/>
      <c r="C8" s="33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3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3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3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3701.7099089474855</v>
      </c>
      <c r="B20" s="8">
        <f>COUNT(H3:H17)</f>
        <v>4</v>
      </c>
      <c r="C20" s="9">
        <f>IF(B20&lt;2,"n/a",(A20/D20))</f>
        <v>0.84974689444992491</v>
      </c>
      <c r="D20" s="10">
        <f>IFERROR(ROUND(AVERAGE(H3:H17),2),"")</f>
        <v>4356.25</v>
      </c>
      <c r="E20" s="15">
        <f>IFERROR(ROUND(IF(B20&lt;2,"n/a",(IF(C20&lt;=25%,"n/a",AVERAGE(I3:I17)))),2),"n/a")</f>
        <v>2825</v>
      </c>
      <c r="F20" s="10">
        <f>IFERROR(ROUND(MEDIAN(H3:H17),2),"")</f>
        <v>3687.5</v>
      </c>
      <c r="G20" s="11" t="str">
        <f>IFERROR(INDEX(G3:G17,MATCH(H20,H3:H17,0)),"")</f>
        <v>LINIK MONTAGENS &amp; EVENTOS LTDA</v>
      </c>
      <c r="H20" s="12">
        <f>F3</f>
        <v>1100</v>
      </c>
    </row>
    <row r="22" spans="1:9" x14ac:dyDescent="0.25">
      <c r="G22" s="13" t="s">
        <v>19</v>
      </c>
      <c r="H22" s="14">
        <f>IF(C20&lt;=25%,D20,MIN(E20:F20))</f>
        <v>2825</v>
      </c>
    </row>
    <row r="23" spans="1:9" x14ac:dyDescent="0.25">
      <c r="G23" s="13" t="s">
        <v>5</v>
      </c>
      <c r="H23" s="14">
        <f>ROUND(H22,2)*D3</f>
        <v>16950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20</v>
      </c>
      <c r="B3" s="30" t="s">
        <v>79</v>
      </c>
      <c r="C3" s="32" t="s">
        <v>76</v>
      </c>
      <c r="D3" s="35">
        <v>5</v>
      </c>
      <c r="E3" s="36">
        <f>IF(C20&lt;=25%,D20,MIN(E20:F20))</f>
        <v>211.2</v>
      </c>
      <c r="F3" s="36">
        <f>MIN(H3:H17)</f>
        <v>17.28</v>
      </c>
      <c r="G3" s="5" t="s">
        <v>94</v>
      </c>
      <c r="H3" s="16">
        <f>10000*0.96</f>
        <v>9600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18*0.96</f>
        <v>17.28</v>
      </c>
      <c r="I4" s="17">
        <f t="shared" ref="I4:I17" si="0">IF(H4="","",(IF($C$20&lt;25%,"n/a",IF(H4&lt;=($D$20+$A$20),H4,"Descartado"))))</f>
        <v>17.28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250*0.96</f>
        <v>240</v>
      </c>
      <c r="I5" s="17">
        <f t="shared" si="0"/>
        <v>240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97.4*0.96</f>
        <v>93.504000000000005</v>
      </c>
      <c r="I6" s="17">
        <f t="shared" si="0"/>
        <v>93.504000000000005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100*0.96</f>
        <v>96</v>
      </c>
      <c r="I7" s="17">
        <f t="shared" si="0"/>
        <v>96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450*0.96</f>
        <v>432</v>
      </c>
      <c r="I8" s="17">
        <f t="shared" si="0"/>
        <v>432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3000*0.96</f>
        <v>2880</v>
      </c>
      <c r="I9" s="17">
        <f t="shared" si="0"/>
        <v>2880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220*0.96</f>
        <v>211.2</v>
      </c>
      <c r="I10" s="17">
        <f t="shared" si="0"/>
        <v>211.2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110*0.96</f>
        <v>105.6</v>
      </c>
      <c r="I11" s="17">
        <f t="shared" si="0"/>
        <v>105.6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3162.1286515105608</v>
      </c>
      <c r="B20" s="8">
        <f>COUNT(H3:H17)</f>
        <v>9</v>
      </c>
      <c r="C20" s="9">
        <f>IF(B20&lt;2,"n/a",(A20/D20))</f>
        <v>2.0810186517433653</v>
      </c>
      <c r="D20" s="10">
        <f>IFERROR(ROUND(AVERAGE(H3:H17),2),"")</f>
        <v>1519.51</v>
      </c>
      <c r="E20" s="15">
        <f>IFERROR(ROUND(IF(B20&lt;2,"n/a",(IF(C20&lt;=25%,"n/a",AVERAGE(I3:I17)))),2),"n/a")</f>
        <v>509.45</v>
      </c>
      <c r="F20" s="10">
        <f>IFERROR(ROUND(MEDIAN(H3:H17),2),"")</f>
        <v>211.2</v>
      </c>
      <c r="G20" s="11" t="str">
        <f>IFERROR(INDEX(G3:G17,MATCH(H20,H3:H17,0)),"")</f>
        <v>APX PRODUCOES E EVENTOS LTDA</v>
      </c>
      <c r="H20" s="12">
        <f>F3</f>
        <v>17.28</v>
      </c>
    </row>
    <row r="22" spans="1:9" x14ac:dyDescent="0.25">
      <c r="G22" s="13" t="s">
        <v>19</v>
      </c>
      <c r="H22" s="14">
        <f>IF(C20&lt;=25%,D20,MIN(E20:F20))</f>
        <v>211.2</v>
      </c>
    </row>
    <row r="23" spans="1:9" x14ac:dyDescent="0.25">
      <c r="G23" s="13" t="s">
        <v>5</v>
      </c>
      <c r="H23" s="14">
        <f>ROUND(H22,2)*D3</f>
        <v>1056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21</v>
      </c>
      <c r="B3" s="30" t="s">
        <v>80</v>
      </c>
      <c r="C3" s="32" t="s">
        <v>76</v>
      </c>
      <c r="D3" s="35">
        <v>20</v>
      </c>
      <c r="E3" s="36">
        <f>IF(C20&lt;=25%,D20,MIN(E20:F20))</f>
        <v>216</v>
      </c>
      <c r="F3" s="36">
        <f>MIN(H3:H17)</f>
        <v>18</v>
      </c>
      <c r="G3" s="5" t="s">
        <v>94</v>
      </c>
      <c r="H3" s="16">
        <f>10000*1.8</f>
        <v>18000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10*1.8</f>
        <v>18</v>
      </c>
      <c r="I4" s="17">
        <f t="shared" ref="I4:I17" si="0">IF(H4="","",(IF($C$20&lt;25%,"n/a",IF(H4&lt;=($D$20+$A$20),H4,"Descartado"))))</f>
        <v>18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150*1.8</f>
        <v>270</v>
      </c>
      <c r="I5" s="17">
        <f t="shared" si="0"/>
        <v>270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65*1.8</f>
        <v>117</v>
      </c>
      <c r="I6" s="17">
        <f t="shared" si="0"/>
        <v>117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81.25*1.8</f>
        <v>146.25</v>
      </c>
      <c r="I7" s="17">
        <f t="shared" si="0"/>
        <v>146.25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180*1.8</f>
        <v>324</v>
      </c>
      <c r="I8" s="17">
        <f t="shared" si="0"/>
        <v>324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900*1.8</f>
        <v>1620</v>
      </c>
      <c r="I9" s="17">
        <f t="shared" si="0"/>
        <v>1620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120*1.8</f>
        <v>216</v>
      </c>
      <c r="I10" s="17">
        <f t="shared" si="0"/>
        <v>216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60*1.8</f>
        <v>108</v>
      </c>
      <c r="I11" s="17">
        <f t="shared" si="0"/>
        <v>108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5902.7098437920868</v>
      </c>
      <c r="B20" s="8">
        <f>COUNT(H3:H17)</f>
        <v>9</v>
      </c>
      <c r="C20" s="9">
        <f>IF(B20&lt;2,"n/a",(A20/D20))</f>
        <v>2.5516955987429317</v>
      </c>
      <c r="D20" s="10">
        <f>IFERROR(ROUND(AVERAGE(H3:H17),2),"")</f>
        <v>2313.25</v>
      </c>
      <c r="E20" s="15">
        <f>IFERROR(ROUND(IF(B20&lt;2,"n/a",(IF(C20&lt;=25%,"n/a",AVERAGE(I3:I17)))),2),"n/a")</f>
        <v>352.41</v>
      </c>
      <c r="F20" s="10">
        <f>IFERROR(ROUND(MEDIAN(H3:H17),2),"")</f>
        <v>216</v>
      </c>
      <c r="G20" s="11" t="str">
        <f>IFERROR(INDEX(G3:G17,MATCH(H20,H3:H17,0)),"")</f>
        <v>APX PRODUCOES E EVENTOS LTDA</v>
      </c>
      <c r="H20" s="12">
        <f>F3</f>
        <v>18</v>
      </c>
    </row>
    <row r="22" spans="1:9" x14ac:dyDescent="0.25">
      <c r="G22" s="13" t="s">
        <v>19</v>
      </c>
      <c r="H22" s="14">
        <f>IF(C20&lt;=25%,D20,MIN(E20:F20))</f>
        <v>216</v>
      </c>
    </row>
    <row r="23" spans="1:9" x14ac:dyDescent="0.25">
      <c r="G23" s="13" t="s">
        <v>5</v>
      </c>
      <c r="H23" s="14">
        <f>ROUND(H22,2)*D3</f>
        <v>4320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22</v>
      </c>
      <c r="B3" s="30" t="s">
        <v>81</v>
      </c>
      <c r="C3" s="32" t="s">
        <v>66</v>
      </c>
      <c r="D3" s="35">
        <v>20</v>
      </c>
      <c r="E3" s="36">
        <f>IF(C20&lt;=25%,D20,MIN(E20:F20))</f>
        <v>100</v>
      </c>
      <c r="F3" s="36">
        <f>MIN(H3:H17)</f>
        <v>6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6</v>
      </c>
      <c r="I4" s="17">
        <f t="shared" ref="I4:I17" si="0">IF(H4="","",(IF($C$20&lt;25%,"n/a",IF(H4&lt;=($D$20+$A$20),H4,"Descartado"))))</f>
        <v>6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100</v>
      </c>
      <c r="I5" s="17">
        <f t="shared" si="0"/>
        <v>100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98.2</v>
      </c>
      <c r="I6" s="17">
        <f t="shared" si="0"/>
        <v>98.2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100</v>
      </c>
      <c r="I7" s="17">
        <f t="shared" si="0"/>
        <v>100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380</v>
      </c>
      <c r="I8" s="17">
        <f t="shared" si="0"/>
        <v>380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600</v>
      </c>
      <c r="I9" s="17">
        <f t="shared" si="0"/>
        <v>600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300</v>
      </c>
      <c r="I10" s="17">
        <f t="shared" si="0"/>
        <v>300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30</v>
      </c>
      <c r="I11" s="17">
        <f t="shared" si="0"/>
        <v>30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3271.7969313513331</v>
      </c>
      <c r="B20" s="8">
        <f>COUNT(H3:H17)</f>
        <v>9</v>
      </c>
      <c r="C20" s="9">
        <f>IF(B20&lt;2,"n/a",(A20/D20))</f>
        <v>2.5353529577218632</v>
      </c>
      <c r="D20" s="10">
        <f>IFERROR(ROUND(AVERAGE(H3:H17),2),"")</f>
        <v>1290.47</v>
      </c>
      <c r="E20" s="15">
        <f>IFERROR(ROUND(IF(B20&lt;2,"n/a",(IF(C20&lt;=25%,"n/a",AVERAGE(I3:I17)))),2),"n/a")</f>
        <v>201.78</v>
      </c>
      <c r="F20" s="10">
        <f>IFERROR(ROUND(MEDIAN(H3:H17),2),"")</f>
        <v>100</v>
      </c>
      <c r="G20" s="11" t="str">
        <f>IFERROR(INDEX(G3:G17,MATCH(H20,H3:H17,0)),"")</f>
        <v>APX PRODUCOES E EVENTOS LTDA</v>
      </c>
      <c r="H20" s="12">
        <f>F3</f>
        <v>6</v>
      </c>
    </row>
    <row r="22" spans="1:9" x14ac:dyDescent="0.25">
      <c r="G22" s="13" t="s">
        <v>19</v>
      </c>
      <c r="H22" s="14">
        <f>IF(C20&lt;=25%,D20,MIN(E20:F20))</f>
        <v>100</v>
      </c>
    </row>
    <row r="23" spans="1:9" x14ac:dyDescent="0.25">
      <c r="G23" s="13" t="s">
        <v>5</v>
      </c>
      <c r="H23" s="14">
        <f>ROUND(H22,2)*D3</f>
        <v>2000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23</v>
      </c>
      <c r="B3" s="30" t="s">
        <v>83</v>
      </c>
      <c r="C3" s="32" t="s">
        <v>82</v>
      </c>
      <c r="D3" s="35">
        <v>120</v>
      </c>
      <c r="E3" s="36">
        <f>IF(C20&lt;=25%,D20,MIN(E20:F20))</f>
        <v>495.6</v>
      </c>
      <c r="F3" s="36">
        <f>MIN(H3:H17)</f>
        <v>31.5</v>
      </c>
      <c r="G3" s="5" t="s">
        <v>94</v>
      </c>
      <c r="H3" s="16">
        <f>10000*(6/8)</f>
        <v>7500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42*(6/8)</f>
        <v>31.5</v>
      </c>
      <c r="I4" s="17">
        <f t="shared" ref="I4:I17" si="0">IF(H4="","",(IF($C$20&lt;25%,"n/a",IF(H4&lt;=($D$20+$A$20),H4,"Descartado"))))</f>
        <v>31.5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350*(6/8)</f>
        <v>262.5</v>
      </c>
      <c r="I5" s="17">
        <f t="shared" si="0"/>
        <v>262.5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660.8*(6/8)</f>
        <v>495.59999999999997</v>
      </c>
      <c r="I6" s="17">
        <f t="shared" si="0"/>
        <v>495.59999999999997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500*(6/8)</f>
        <v>375</v>
      </c>
      <c r="I7" s="17">
        <f t="shared" si="0"/>
        <v>375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1800*(6/8)</f>
        <v>1350</v>
      </c>
      <c r="I8" s="17">
        <f t="shared" si="0"/>
        <v>1350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800*(6/8)</f>
        <v>600</v>
      </c>
      <c r="I9" s="17">
        <f t="shared" si="0"/>
        <v>600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1000*(6/8)</f>
        <v>750</v>
      </c>
      <c r="I10" s="17">
        <f t="shared" si="0"/>
        <v>750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250*(6/8)</f>
        <v>187.5</v>
      </c>
      <c r="I11" s="17">
        <f t="shared" si="0"/>
        <v>187.5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2362.6893738915405</v>
      </c>
      <c r="B20" s="8">
        <f>COUNT(H3:H17)</f>
        <v>9</v>
      </c>
      <c r="C20" s="9">
        <f>IF(B20&lt;2,"n/a",(A20/D20))</f>
        <v>1.8407171980426005</v>
      </c>
      <c r="D20" s="10">
        <f>IFERROR(ROUND(AVERAGE(H3:H17),2),"")</f>
        <v>1283.57</v>
      </c>
      <c r="E20" s="15">
        <f>IFERROR(ROUND(IF(B20&lt;2,"n/a",(IF(C20&lt;=25%,"n/a",AVERAGE(I3:I17)))),2),"n/a")</f>
        <v>506.51</v>
      </c>
      <c r="F20" s="10">
        <f>IFERROR(ROUND(MEDIAN(H3:H17),2),"")</f>
        <v>495.6</v>
      </c>
      <c r="G20" s="11" t="str">
        <f>IFERROR(INDEX(G3:G17,MATCH(H20,H3:H17,0)),"")</f>
        <v>APX PRODUCOES E EVENTOS LTDA</v>
      </c>
      <c r="H20" s="12">
        <f>F3</f>
        <v>31.5</v>
      </c>
    </row>
    <row r="22" spans="1:9" x14ac:dyDescent="0.25">
      <c r="G22" s="13" t="s">
        <v>19</v>
      </c>
      <c r="H22" s="14">
        <f>IF(C20&lt;=25%,D20,MIN(E20:F20))</f>
        <v>495.6</v>
      </c>
    </row>
    <row r="23" spans="1:9" x14ac:dyDescent="0.25">
      <c r="G23" s="13" t="s">
        <v>5</v>
      </c>
      <c r="H23" s="14">
        <f>ROUND(H22,2)*D3</f>
        <v>59472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24</v>
      </c>
      <c r="B3" s="30" t="s">
        <v>84</v>
      </c>
      <c r="C3" s="32" t="s">
        <v>82</v>
      </c>
      <c r="D3" s="35">
        <v>10</v>
      </c>
      <c r="E3" s="36">
        <f>IF(C20&lt;=25%,D20,MIN(E20:F20))</f>
        <v>900</v>
      </c>
      <c r="F3" s="36">
        <f>MIN(H3:H17)</f>
        <v>87</v>
      </c>
      <c r="G3" s="5" t="s">
        <v>94</v>
      </c>
      <c r="H3" s="16">
        <f>10000*(6/8)</f>
        <v>7500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116*(6/8)</f>
        <v>87</v>
      </c>
      <c r="I4" s="17">
        <f t="shared" ref="I4:I17" si="0">IF(H4="","",(IF($C$20&lt;25%,"n/a",IF(H4&lt;=($D$20+$A$20),H4,"Descartado"))))</f>
        <v>87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1000*(6/8)</f>
        <v>750</v>
      </c>
      <c r="I5" s="17">
        <f t="shared" si="0"/>
        <v>750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1222.4*(6/8)</f>
        <v>916.80000000000007</v>
      </c>
      <c r="I6" s="17">
        <f t="shared" si="0"/>
        <v>916.80000000000007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1200*(6/8)</f>
        <v>900</v>
      </c>
      <c r="I7" s="17">
        <f t="shared" si="0"/>
        <v>900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4500*(6/8)</f>
        <v>3375</v>
      </c>
      <c r="I8" s="17">
        <f t="shared" si="0"/>
        <v>3375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600*(6/8)</f>
        <v>450</v>
      </c>
      <c r="I9" s="17">
        <f t="shared" si="0"/>
        <v>450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4095*(6/8)</f>
        <v>3071.25</v>
      </c>
      <c r="I10" s="17">
        <f t="shared" si="0"/>
        <v>3071.25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500*(6/8)</f>
        <v>375</v>
      </c>
      <c r="I11" s="17">
        <f t="shared" si="0"/>
        <v>375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2395.3076023759459</v>
      </c>
      <c r="B20" s="8">
        <f>COUNT(H3:H17)</f>
        <v>9</v>
      </c>
      <c r="C20" s="9">
        <f>IF(B20&lt;2,"n/a",(A20/D20))</f>
        <v>1.2371689783566855</v>
      </c>
      <c r="D20" s="10">
        <f>IFERROR(ROUND(AVERAGE(H3:H17),2),"")</f>
        <v>1936.12</v>
      </c>
      <c r="E20" s="15">
        <f>IFERROR(ROUND(IF(B20&lt;2,"n/a",(IF(C20&lt;=25%,"n/a",AVERAGE(I3:I17)))),2),"n/a")</f>
        <v>1240.6300000000001</v>
      </c>
      <c r="F20" s="10">
        <f>IFERROR(ROUND(MEDIAN(H3:H17),2),"")</f>
        <v>900</v>
      </c>
      <c r="G20" s="11" t="str">
        <f>IFERROR(INDEX(G3:G17,MATCH(H20,H3:H17,0)),"")</f>
        <v>APX PRODUCOES E EVENTOS LTDA</v>
      </c>
      <c r="H20" s="12">
        <f>F3</f>
        <v>87</v>
      </c>
    </row>
    <row r="22" spans="1:9" x14ac:dyDescent="0.25">
      <c r="G22" s="13" t="s">
        <v>19</v>
      </c>
      <c r="H22" s="14">
        <f>IF(C20&lt;=25%,D20,MIN(E20:F20))</f>
        <v>900</v>
      </c>
    </row>
    <row r="23" spans="1:9" x14ac:dyDescent="0.25">
      <c r="G23" s="13" t="s">
        <v>5</v>
      </c>
      <c r="H23" s="14">
        <f>ROUND(H22,2)*D3</f>
        <v>9000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25</v>
      </c>
      <c r="B3" s="30" t="s">
        <v>85</v>
      </c>
      <c r="C3" s="32" t="s">
        <v>82</v>
      </c>
      <c r="D3" s="35">
        <v>10</v>
      </c>
      <c r="E3" s="36">
        <f>IF(C20&lt;=25%,D20,MIN(E20:F20))</f>
        <v>153.56</v>
      </c>
      <c r="F3" s="36">
        <f>MIN(H3:H17)</f>
        <v>12.75</v>
      </c>
      <c r="G3" s="5" t="s">
        <v>94</v>
      </c>
      <c r="H3" s="16">
        <f>10000*(6/8)</f>
        <v>7500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17*(6/8)</f>
        <v>12.75</v>
      </c>
      <c r="I4" s="17">
        <f t="shared" ref="I4:I17" si="0">IF(H4="","",(IF($C$20&lt;25%,"n/a",IF(H4&lt;=($D$20+$A$20),H4,"Descartado"))))</f>
        <v>12.75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350*(6/8)</f>
        <v>262.5</v>
      </c>
      <c r="I5" s="17">
        <f t="shared" si="0"/>
        <v>262.5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202.8*(6/8)</f>
        <v>152.10000000000002</v>
      </c>
      <c r="I6" s="17">
        <f t="shared" si="0"/>
        <v>152.10000000000002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240*(6/8)</f>
        <v>180</v>
      </c>
      <c r="I7" s="17">
        <f t="shared" si="0"/>
        <v>180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1200*(6/8)</f>
        <v>900</v>
      </c>
      <c r="I8" s="17">
        <f t="shared" si="0"/>
        <v>900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150*(6/8)</f>
        <v>112.5</v>
      </c>
      <c r="I9" s="17">
        <f t="shared" si="0"/>
        <v>112.5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204.75*(6/8)</f>
        <v>153.5625</v>
      </c>
      <c r="I10" s="17">
        <f t="shared" si="0"/>
        <v>153.5625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140*(6/8)</f>
        <v>105</v>
      </c>
      <c r="I11" s="17">
        <f t="shared" si="0"/>
        <v>105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2435.6500735173349</v>
      </c>
      <c r="B20" s="8">
        <f>COUNT(H3:H17)</f>
        <v>9</v>
      </c>
      <c r="C20" s="9">
        <f>IF(B20&lt;2,"n/a",(A20/D20))</f>
        <v>2.337363920653841</v>
      </c>
      <c r="D20" s="10">
        <f>IFERROR(ROUND(AVERAGE(H3:H17),2),"")</f>
        <v>1042.05</v>
      </c>
      <c r="E20" s="15">
        <f>IFERROR(ROUND(IF(B20&lt;2,"n/a",(IF(C20&lt;=25%,"n/a",AVERAGE(I3:I17)))),2),"n/a")</f>
        <v>234.8</v>
      </c>
      <c r="F20" s="10">
        <f>IFERROR(ROUND(MEDIAN(H3:H17),2),"")</f>
        <v>153.56</v>
      </c>
      <c r="G20" s="11" t="str">
        <f>IFERROR(INDEX(G3:G17,MATCH(H20,H3:H17,0)),"")</f>
        <v>APX PRODUCOES E EVENTOS LTDA</v>
      </c>
      <c r="H20" s="12">
        <f>F3</f>
        <v>12.75</v>
      </c>
    </row>
    <row r="22" spans="1:9" x14ac:dyDescent="0.25">
      <c r="G22" s="13" t="s">
        <v>19</v>
      </c>
      <c r="H22" s="14">
        <f>IF(C20&lt;=25%,D20,MIN(E20:F20))</f>
        <v>153.56</v>
      </c>
    </row>
    <row r="23" spans="1:9" x14ac:dyDescent="0.25">
      <c r="G23" s="13" t="s">
        <v>5</v>
      </c>
      <c r="H23" s="14">
        <f>ROUND(H22,2)*D3</f>
        <v>1535.6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26</v>
      </c>
      <c r="B3" s="30" t="s">
        <v>86</v>
      </c>
      <c r="C3" s="32" t="s">
        <v>82</v>
      </c>
      <c r="D3" s="35">
        <v>20</v>
      </c>
      <c r="E3" s="36">
        <f>IF(C20&lt;=25%,D20,MIN(E20:F20))</f>
        <v>109.46</v>
      </c>
      <c r="F3" s="36">
        <f>MIN(H3:H17)</f>
        <v>106.64999999999999</v>
      </c>
      <c r="G3" s="5" t="s">
        <v>112</v>
      </c>
      <c r="H3" s="16">
        <f>145*(6/8)</f>
        <v>108.75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108</v>
      </c>
      <c r="H4" s="16">
        <f>146.67*(6/8)</f>
        <v>110.0025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114</v>
      </c>
      <c r="H5" s="16">
        <f>146.67*(6/8)</f>
        <v>110.0025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103</v>
      </c>
      <c r="H6" s="16">
        <f>142.2*(6/8)</f>
        <v>106.64999999999999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146.67*(6/8)</f>
        <v>110.0025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116</v>
      </c>
      <c r="H8" s="16">
        <f>146.67*(6/8)</f>
        <v>110.0025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115</v>
      </c>
      <c r="H9" s="16">
        <f>144.9*(6/8)</f>
        <v>108.67500000000001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113</v>
      </c>
      <c r="H10" s="16">
        <f>146.67*(6/8)</f>
        <v>110.0025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111</v>
      </c>
      <c r="H11" s="16">
        <f>146.67*(6/8)</f>
        <v>110.0025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 t="s">
        <v>109</v>
      </c>
      <c r="H12" s="16">
        <f>146.67*(6/8)</f>
        <v>110.0025</v>
      </c>
      <c r="I12" s="17" t="str">
        <f t="shared" si="0"/>
        <v>n/a</v>
      </c>
    </row>
    <row r="13" spans="1:9" x14ac:dyDescent="0.25">
      <c r="A13" s="37"/>
      <c r="B13" s="31"/>
      <c r="C13" s="33"/>
      <c r="D13" s="35"/>
      <c r="E13" s="36"/>
      <c r="F13" s="36"/>
      <c r="G13" s="5" t="s">
        <v>106</v>
      </c>
      <c r="H13" s="16">
        <f>146.67*(6/8)</f>
        <v>110.0025</v>
      </c>
      <c r="I13" s="17" t="str">
        <f t="shared" si="0"/>
        <v>n/a</v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1.0663378280996905</v>
      </c>
      <c r="B20" s="8">
        <f>COUNT(H3:H17)</f>
        <v>11</v>
      </c>
      <c r="C20" s="9">
        <f>IF(B20&lt;2,"n/a",(A20/D20))</f>
        <v>9.7418036552136909E-3</v>
      </c>
      <c r="D20" s="10">
        <f>IFERROR(ROUND(AVERAGE(H3:H17),2),"")</f>
        <v>109.46</v>
      </c>
      <c r="E20" s="15" t="str">
        <f>IFERROR(ROUND(IF(B20&lt;2,"n/a",(IF(C20&lt;=25%,"n/a",AVERAGE(I3:I17)))),2),"n/a")</f>
        <v>n/a</v>
      </c>
      <c r="F20" s="10">
        <f>IFERROR(ROUND(MEDIAN(H3:H17),2),"")</f>
        <v>110</v>
      </c>
      <c r="G20" s="11" t="str">
        <f>IFERROR(INDEX(G3:G17,MATCH(H20,H3:H17,0)),"")</f>
        <v>C2 GESTAO &amp; PRODUCAO DE EVENTOS LTDA</v>
      </c>
      <c r="H20" s="12">
        <f>F3</f>
        <v>106.64999999999999</v>
      </c>
    </row>
    <row r="22" spans="1:9" x14ac:dyDescent="0.25">
      <c r="G22" s="13" t="s">
        <v>19</v>
      </c>
      <c r="H22" s="14">
        <f>IF(C20&lt;=25%,D20,MIN(E20:F20))</f>
        <v>109.46</v>
      </c>
    </row>
    <row r="23" spans="1:9" x14ac:dyDescent="0.25">
      <c r="G23" s="13" t="s">
        <v>5</v>
      </c>
      <c r="H23" s="14">
        <f>ROUND(H22,2)*D3</f>
        <v>2189.1999999999998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7">
        <v>27</v>
      </c>
      <c r="B3" s="30" t="s">
        <v>88</v>
      </c>
      <c r="C3" s="32" t="s">
        <v>87</v>
      </c>
      <c r="D3" s="35">
        <v>48</v>
      </c>
      <c r="E3" s="36">
        <f>IF(C20&lt;=25%,D20,MIN(E20:F20))</f>
        <v>276.94</v>
      </c>
      <c r="F3" s="36">
        <f>MIN(H3:H17)</f>
        <v>240</v>
      </c>
      <c r="G3" s="5" t="s">
        <v>110</v>
      </c>
      <c r="H3" s="16">
        <v>250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115</v>
      </c>
      <c r="H4" s="16">
        <v>286.2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111</v>
      </c>
      <c r="H5" s="16">
        <v>286.25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116</v>
      </c>
      <c r="H6" s="16">
        <v>286.25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113</v>
      </c>
      <c r="H7" s="16">
        <v>286.25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114</v>
      </c>
      <c r="H8" s="16">
        <v>286.25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112</v>
      </c>
      <c r="H9" s="16">
        <v>285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107</v>
      </c>
      <c r="H10" s="16">
        <v>240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98</v>
      </c>
      <c r="H11" s="16">
        <v>286.25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18.283937243140798</v>
      </c>
      <c r="B20" s="8">
        <f>COUNT(H3:H17)</f>
        <v>9</v>
      </c>
      <c r="C20" s="9">
        <f>IF(B20&lt;2,"n/a",(A20/D20))</f>
        <v>6.6021294298912389E-2</v>
      </c>
      <c r="D20" s="10">
        <f>IFERROR(ROUND(AVERAGE(H3:H17),2),"")</f>
        <v>276.94</v>
      </c>
      <c r="E20" s="15" t="str">
        <f>IFERROR(ROUND(IF(B20&lt;2,"n/a",(IF(C20&lt;=25%,"n/a",AVERAGE(I3:I17)))),2),"n/a")</f>
        <v>n/a</v>
      </c>
      <c r="F20" s="10">
        <f>IFERROR(ROUND(MEDIAN(H3:H17),2),"")</f>
        <v>286.25</v>
      </c>
      <c r="G20" s="11" t="str">
        <f>IFERROR(INDEX(G3:G17,MATCH(H20,H3:H17,0)),"")</f>
        <v>WELCOME SERVICOS E EVENTOS LTDA</v>
      </c>
      <c r="H20" s="12">
        <f>F3</f>
        <v>240</v>
      </c>
    </row>
    <row r="22" spans="1:9" x14ac:dyDescent="0.25">
      <c r="G22" s="13" t="s">
        <v>19</v>
      </c>
      <c r="H22" s="14">
        <f>IF(C20&lt;=25%,D20,MIN(E20:F20))</f>
        <v>276.94</v>
      </c>
    </row>
    <row r="23" spans="1:9" x14ac:dyDescent="0.25">
      <c r="G23" s="13" t="s">
        <v>5</v>
      </c>
      <c r="H23" s="14">
        <f>ROUND(H22,2)*D3</f>
        <v>13293.119999999999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28</v>
      </c>
      <c r="B3" s="30" t="s">
        <v>89</v>
      </c>
      <c r="C3" s="32" t="s">
        <v>87</v>
      </c>
      <c r="D3" s="35">
        <v>24</v>
      </c>
      <c r="E3" s="36">
        <f>IF(C20&lt;=25%,D20,MIN(E20:F20))</f>
        <v>151</v>
      </c>
      <c r="F3" s="36">
        <f>MIN(H3:H17)</f>
        <v>19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19</v>
      </c>
      <c r="I4" s="17">
        <f t="shared" ref="I4:I17" si="0">IF(H4="","",(IF($C$20&lt;25%,"n/a",IF(H4&lt;=($D$20+$A$20),H4,"Descartado"))))</f>
        <v>19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400</v>
      </c>
      <c r="I5" s="17">
        <f t="shared" si="0"/>
        <v>400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120.8</v>
      </c>
      <c r="I6" s="17">
        <f t="shared" si="0"/>
        <v>120.8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151</v>
      </c>
      <c r="I7" s="17">
        <f t="shared" si="0"/>
        <v>151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350</v>
      </c>
      <c r="I8" s="17">
        <f t="shared" si="0"/>
        <v>350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600</v>
      </c>
      <c r="I9" s="17">
        <f t="shared" si="0"/>
        <v>600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120</v>
      </c>
      <c r="I10" s="17">
        <f t="shared" si="0"/>
        <v>120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110</v>
      </c>
      <c r="I11" s="17">
        <f t="shared" si="0"/>
        <v>110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3260.5489038572086</v>
      </c>
      <c r="B20" s="8">
        <f>COUNT(H3:H17)</f>
        <v>9</v>
      </c>
      <c r="C20" s="9">
        <f>IF(B20&lt;2,"n/a",(A20/D20))</f>
        <v>2.4720230055476264</v>
      </c>
      <c r="D20" s="10">
        <f>IFERROR(ROUND(AVERAGE(H3:H17),2),"")</f>
        <v>1318.98</v>
      </c>
      <c r="E20" s="15">
        <f>IFERROR(ROUND(IF(B20&lt;2,"n/a",(IF(C20&lt;=25%,"n/a",AVERAGE(I3:I17)))),2),"n/a")</f>
        <v>233.85</v>
      </c>
      <c r="F20" s="10">
        <f>IFERROR(ROUND(MEDIAN(H3:H17),2),"")</f>
        <v>151</v>
      </c>
      <c r="G20" s="11" t="str">
        <f>IFERROR(INDEX(G3:G17,MATCH(H20,H3:H17,0)),"")</f>
        <v>APX PRODUCOES E EVENTOS LTDA</v>
      </c>
      <c r="H20" s="12">
        <f>F3</f>
        <v>19</v>
      </c>
    </row>
    <row r="22" spans="1:9" x14ac:dyDescent="0.25">
      <c r="G22" s="13" t="s">
        <v>19</v>
      </c>
      <c r="H22" s="14">
        <f>IF(C20&lt;=25%,D20,MIN(E20:F20))</f>
        <v>151</v>
      </c>
    </row>
    <row r="23" spans="1:9" x14ac:dyDescent="0.25">
      <c r="G23" s="13" t="s">
        <v>5</v>
      </c>
      <c r="H23" s="14">
        <f>ROUND(H22,2)*D3</f>
        <v>3624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29</v>
      </c>
      <c r="B3" s="30" t="s">
        <v>90</v>
      </c>
      <c r="C3" s="32" t="s">
        <v>76</v>
      </c>
      <c r="D3" s="35">
        <v>20</v>
      </c>
      <c r="E3" s="36">
        <f>IF(C20&lt;=25%,D20,MIN(E20:F20))</f>
        <v>277.56</v>
      </c>
      <c r="F3" s="36">
        <f>MIN(H3:H17)</f>
        <v>240</v>
      </c>
      <c r="G3" s="5" t="s">
        <v>110</v>
      </c>
      <c r="H3" s="16">
        <v>250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116</v>
      </c>
      <c r="H4" s="16">
        <v>287.18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98</v>
      </c>
      <c r="H5" s="16">
        <v>287.18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115</v>
      </c>
      <c r="H6" s="16">
        <v>287.18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113</v>
      </c>
      <c r="H7" s="16">
        <v>287.18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112</v>
      </c>
      <c r="H8" s="16">
        <v>285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114</v>
      </c>
      <c r="H9" s="16">
        <v>287.18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107</v>
      </c>
      <c r="H10" s="16">
        <v>240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111</v>
      </c>
      <c r="H11" s="16">
        <v>287.18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18.644459707317289</v>
      </c>
      <c r="B20" s="8">
        <f>COUNT(H3:H17)</f>
        <v>9</v>
      </c>
      <c r="C20" s="9">
        <f>IF(B20&lt;2,"n/a",(A20/D20))</f>
        <v>6.717271835753455E-2</v>
      </c>
      <c r="D20" s="10">
        <f>IFERROR(ROUND(AVERAGE(H3:H17),2),"")</f>
        <v>277.56</v>
      </c>
      <c r="E20" s="15" t="str">
        <f>IFERROR(ROUND(IF(B20&lt;2,"n/a",(IF(C20&lt;=25%,"n/a",AVERAGE(I3:I17)))),2),"n/a")</f>
        <v>n/a</v>
      </c>
      <c r="F20" s="10">
        <f>IFERROR(ROUND(MEDIAN(H3:H17),2),"")</f>
        <v>287.18</v>
      </c>
      <c r="G20" s="11" t="str">
        <f>IFERROR(INDEX(G3:G17,MATCH(H20,H3:H17,0)),"")</f>
        <v>WELCOME SERVICOS E EVENTOS LTDA</v>
      </c>
      <c r="H20" s="12">
        <f>F3</f>
        <v>240</v>
      </c>
    </row>
    <row r="22" spans="1:9" x14ac:dyDescent="0.25">
      <c r="G22" s="13" t="s">
        <v>19</v>
      </c>
      <c r="H22" s="14">
        <f>IF(C20&lt;=25%,D20,MIN(E20:F20))</f>
        <v>277.56</v>
      </c>
    </row>
    <row r="23" spans="1:9" x14ac:dyDescent="0.25">
      <c r="G23" s="13" t="s">
        <v>5</v>
      </c>
      <c r="H23" s="14">
        <f>ROUND(H22,2)*D3</f>
        <v>5551.2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3</v>
      </c>
      <c r="B3" s="30" t="s">
        <v>61</v>
      </c>
      <c r="C3" s="32" t="s">
        <v>155</v>
      </c>
      <c r="D3" s="35">
        <v>10</v>
      </c>
      <c r="E3" s="36">
        <f>IF(C20&lt;=25%,D20,MIN(E20:F20))</f>
        <v>787.5</v>
      </c>
      <c r="F3" s="36">
        <f>MIN(H3:H17)</f>
        <v>25</v>
      </c>
      <c r="G3" s="5" t="s">
        <v>94</v>
      </c>
      <c r="H3" s="16">
        <f>10000/2</f>
        <v>5000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50/2</f>
        <v>25</v>
      </c>
      <c r="I4" s="17">
        <f t="shared" ref="I4:I17" si="0">IF(H4="","",(IF($C$20&lt;25%,"n/a",IF(H4&lt;=($D$20+$A$20),H4,"Descartado"))))</f>
        <v>25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5000/2</f>
        <v>2500</v>
      </c>
      <c r="I5" s="17">
        <f t="shared" si="0"/>
        <v>2500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2360/2</f>
        <v>1180</v>
      </c>
      <c r="I6" s="17">
        <f t="shared" si="0"/>
        <v>1180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1500/2</f>
        <v>750</v>
      </c>
      <c r="I7" s="17">
        <f t="shared" si="0"/>
        <v>750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1500/2</f>
        <v>750</v>
      </c>
      <c r="I8" s="17">
        <f t="shared" si="0"/>
        <v>750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1575/2</f>
        <v>787.5</v>
      </c>
      <c r="I9" s="17">
        <f t="shared" si="0"/>
        <v>787.5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4500/2</f>
        <v>2250</v>
      </c>
      <c r="I10" s="17">
        <f t="shared" si="0"/>
        <v>2250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500/2</f>
        <v>250</v>
      </c>
      <c r="I11" s="17">
        <f t="shared" si="0"/>
        <v>250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1552.6459271192514</v>
      </c>
      <c r="B20" s="8">
        <f>COUNT(H3:H17)</f>
        <v>9</v>
      </c>
      <c r="C20" s="9">
        <f>IF(B20&lt;2,"n/a",(A20/D20))</f>
        <v>1.0356703556763085</v>
      </c>
      <c r="D20" s="10">
        <f>IFERROR(ROUND(AVERAGE(H3:H17),2),"")</f>
        <v>1499.17</v>
      </c>
      <c r="E20" s="15">
        <f>IFERROR(ROUND(IF(B20&lt;2,"n/a",(IF(C20&lt;=25%,"n/a",AVERAGE(I3:I17)))),2),"n/a")</f>
        <v>1061.56</v>
      </c>
      <c r="F20" s="10">
        <f>IFERROR(ROUND(MEDIAN(H3:H17),2),"")</f>
        <v>787.5</v>
      </c>
      <c r="G20" s="11" t="str">
        <f>IFERROR(INDEX(G3:G17,MATCH(H20,H3:H17,0)),"")</f>
        <v>APX PRODUCOES E EVENTOS LTDA</v>
      </c>
      <c r="H20" s="12">
        <f>F3</f>
        <v>25</v>
      </c>
    </row>
    <row r="22" spans="1:9" x14ac:dyDescent="0.25">
      <c r="G22" s="13" t="s">
        <v>19</v>
      </c>
      <c r="H22" s="14">
        <f>IF(C20&lt;=25%,D20,MIN(E20:F20))</f>
        <v>787.5</v>
      </c>
    </row>
    <row r="23" spans="1:9" x14ac:dyDescent="0.25">
      <c r="G23" s="13" t="s">
        <v>5</v>
      </c>
      <c r="H23" s="14">
        <f>ROUND(H22,2)*D3</f>
        <v>7875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30</v>
      </c>
      <c r="B3" s="30" t="s">
        <v>91</v>
      </c>
      <c r="C3" s="32" t="s">
        <v>76</v>
      </c>
      <c r="D3" s="35">
        <v>24</v>
      </c>
      <c r="E3" s="36">
        <f>IF(C20&lt;=25%,D20,MIN(E20:F20))</f>
        <v>346.21</v>
      </c>
      <c r="F3" s="36">
        <f>MIN(H3:H17)</f>
        <v>240.64</v>
      </c>
      <c r="G3" s="5" t="s">
        <v>118</v>
      </c>
      <c r="H3" s="16">
        <v>300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3"/>
      <c r="D4" s="35"/>
      <c r="E4" s="36"/>
      <c r="F4" s="36"/>
      <c r="G4" s="5" t="s">
        <v>134</v>
      </c>
      <c r="H4" s="16">
        <v>400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3"/>
      <c r="D5" s="35"/>
      <c r="E5" s="36"/>
      <c r="F5" s="36"/>
      <c r="G5" s="5" t="s">
        <v>128</v>
      </c>
      <c r="H5" s="16">
        <v>399.11</v>
      </c>
      <c r="I5" s="17" t="str">
        <f t="shared" si="0"/>
        <v>n/a</v>
      </c>
    </row>
    <row r="6" spans="1:9" x14ac:dyDescent="0.25">
      <c r="A6" s="37"/>
      <c r="B6" s="31"/>
      <c r="C6" s="33"/>
      <c r="D6" s="35"/>
      <c r="E6" s="36"/>
      <c r="F6" s="36"/>
      <c r="G6" s="5" t="s">
        <v>114</v>
      </c>
      <c r="H6" s="16">
        <v>400</v>
      </c>
      <c r="I6" s="17" t="str">
        <f t="shared" si="0"/>
        <v>n/a</v>
      </c>
    </row>
    <row r="7" spans="1:9" x14ac:dyDescent="0.25">
      <c r="A7" s="37"/>
      <c r="B7" s="31"/>
      <c r="C7" s="33"/>
      <c r="D7" s="35"/>
      <c r="E7" s="36"/>
      <c r="F7" s="36"/>
      <c r="G7" s="5" t="s">
        <v>105</v>
      </c>
      <c r="H7" s="16">
        <v>399</v>
      </c>
      <c r="I7" s="17" t="str">
        <f t="shared" si="0"/>
        <v>n/a</v>
      </c>
    </row>
    <row r="8" spans="1:9" x14ac:dyDescent="0.25">
      <c r="A8" s="37"/>
      <c r="B8" s="31"/>
      <c r="C8" s="33"/>
      <c r="D8" s="35"/>
      <c r="E8" s="36"/>
      <c r="F8" s="36"/>
      <c r="G8" s="5" t="s">
        <v>135</v>
      </c>
      <c r="H8" s="16">
        <v>301</v>
      </c>
      <c r="I8" s="17" t="str">
        <f t="shared" si="0"/>
        <v>n/a</v>
      </c>
    </row>
    <row r="9" spans="1:9" x14ac:dyDescent="0.25">
      <c r="A9" s="37"/>
      <c r="B9" s="31"/>
      <c r="C9" s="33"/>
      <c r="D9" s="35"/>
      <c r="E9" s="36"/>
      <c r="F9" s="36"/>
      <c r="G9" s="5" t="s">
        <v>129</v>
      </c>
      <c r="H9" s="16">
        <v>240.64</v>
      </c>
      <c r="I9" s="17" t="str">
        <f t="shared" si="0"/>
        <v>n/a</v>
      </c>
    </row>
    <row r="10" spans="1:9" x14ac:dyDescent="0.25">
      <c r="A10" s="37"/>
      <c r="B10" s="31"/>
      <c r="C10" s="33"/>
      <c r="D10" s="35"/>
      <c r="E10" s="36"/>
      <c r="F10" s="36"/>
      <c r="G10" s="5" t="s">
        <v>136</v>
      </c>
      <c r="H10" s="16">
        <v>400</v>
      </c>
      <c r="I10" s="17" t="str">
        <f t="shared" si="0"/>
        <v>n/a</v>
      </c>
    </row>
    <row r="11" spans="1:9" x14ac:dyDescent="0.25">
      <c r="A11" s="37"/>
      <c r="B11" s="31"/>
      <c r="C11" s="33"/>
      <c r="D11" s="35"/>
      <c r="E11" s="36"/>
      <c r="F11" s="36"/>
      <c r="G11" s="5" t="s">
        <v>130</v>
      </c>
      <c r="H11" s="16">
        <v>400</v>
      </c>
      <c r="I11" s="17" t="str">
        <f t="shared" si="0"/>
        <v>n/a</v>
      </c>
    </row>
    <row r="12" spans="1:9" x14ac:dyDescent="0.25">
      <c r="A12" s="37"/>
      <c r="B12" s="31"/>
      <c r="C12" s="33"/>
      <c r="D12" s="35"/>
      <c r="E12" s="36"/>
      <c r="F12" s="36"/>
      <c r="G12" s="5" t="s">
        <v>98</v>
      </c>
      <c r="H12" s="16">
        <v>350</v>
      </c>
      <c r="I12" s="17" t="str">
        <f t="shared" si="0"/>
        <v>n/a</v>
      </c>
    </row>
    <row r="13" spans="1:9" x14ac:dyDescent="0.25">
      <c r="A13" s="37"/>
      <c r="B13" s="31"/>
      <c r="C13" s="33"/>
      <c r="D13" s="35"/>
      <c r="E13" s="36"/>
      <c r="F13" s="36"/>
      <c r="G13" s="5" t="s">
        <v>131</v>
      </c>
      <c r="H13" s="16">
        <v>290</v>
      </c>
      <c r="I13" s="17" t="str">
        <f t="shared" si="0"/>
        <v>n/a</v>
      </c>
    </row>
    <row r="14" spans="1:9" x14ac:dyDescent="0.25">
      <c r="A14" s="37"/>
      <c r="B14" s="31"/>
      <c r="C14" s="33"/>
      <c r="D14" s="35"/>
      <c r="E14" s="36"/>
      <c r="F14" s="36"/>
      <c r="G14" s="5" t="s">
        <v>106</v>
      </c>
      <c r="H14" s="16">
        <v>313.33</v>
      </c>
      <c r="I14" s="17" t="str">
        <f t="shared" si="0"/>
        <v>n/a</v>
      </c>
    </row>
    <row r="15" spans="1:9" x14ac:dyDescent="0.25">
      <c r="A15" s="37"/>
      <c r="B15" s="31"/>
      <c r="C15" s="33"/>
      <c r="D15" s="35"/>
      <c r="E15" s="36"/>
      <c r="F15" s="36"/>
      <c r="G15" s="5" t="s">
        <v>132</v>
      </c>
      <c r="H15" s="16">
        <v>340</v>
      </c>
      <c r="I15" s="17" t="str">
        <f t="shared" si="0"/>
        <v>n/a</v>
      </c>
    </row>
    <row r="16" spans="1:9" x14ac:dyDescent="0.25">
      <c r="A16" s="37"/>
      <c r="B16" s="31"/>
      <c r="C16" s="33"/>
      <c r="D16" s="35"/>
      <c r="E16" s="36"/>
      <c r="F16" s="36"/>
      <c r="G16" s="5" t="s">
        <v>137</v>
      </c>
      <c r="H16" s="16">
        <v>260.10000000000002</v>
      </c>
      <c r="I16" s="17" t="str">
        <f t="shared" si="0"/>
        <v>n/a</v>
      </c>
    </row>
    <row r="17" spans="1:9" x14ac:dyDescent="0.25">
      <c r="A17" s="37"/>
      <c r="B17" s="31"/>
      <c r="C17" s="34"/>
      <c r="D17" s="35"/>
      <c r="E17" s="36"/>
      <c r="F17" s="36"/>
      <c r="G17" s="5" t="s">
        <v>133</v>
      </c>
      <c r="H17" s="16">
        <v>400</v>
      </c>
      <c r="I17" s="17" t="str">
        <f t="shared" si="0"/>
        <v>n/a</v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57.993143954387143</v>
      </c>
      <c r="B20" s="8">
        <f>COUNT(H3:H17)</f>
        <v>15</v>
      </c>
      <c r="C20" s="9">
        <f>IF(B20&lt;2,"n/a",(A20/D20))</f>
        <v>0.16750857558818968</v>
      </c>
      <c r="D20" s="10">
        <f>IFERROR(ROUND(AVERAGE(H3:H17),2),"")</f>
        <v>346.21</v>
      </c>
      <c r="E20" s="15" t="str">
        <f>IFERROR(ROUND(IF(B20&lt;2,"n/a",(IF(C20&lt;=25%,"n/a",AVERAGE(I3:I17)))),2),"n/a")</f>
        <v>n/a</v>
      </c>
      <c r="F20" s="10">
        <f>IFERROR(ROUND(MEDIAN(H3:H17),2),"")</f>
        <v>350</v>
      </c>
      <c r="G20" s="11" t="str">
        <f>IFERROR(INDEX(G3:G17,MATCH(H20,H3:H17,0)),"")</f>
        <v>BUZZLINE SERVICOS, ENTRETENIMENTO E PRODUCAO LTDA</v>
      </c>
      <c r="H20" s="12">
        <f>F3</f>
        <v>240.64</v>
      </c>
    </row>
    <row r="22" spans="1:9" x14ac:dyDescent="0.25">
      <c r="G22" s="13" t="s">
        <v>19</v>
      </c>
      <c r="H22" s="14">
        <f>IF(C20&lt;=25%,D20,MIN(E20:F20))</f>
        <v>346.21</v>
      </c>
    </row>
    <row r="23" spans="1:9" x14ac:dyDescent="0.25">
      <c r="G23" s="13" t="s">
        <v>5</v>
      </c>
      <c r="H23" s="14">
        <f>ROUND(H22,2)*D3</f>
        <v>8309.0399999999991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31</v>
      </c>
      <c r="B3" s="30" t="s">
        <v>92</v>
      </c>
      <c r="C3" s="32" t="s">
        <v>76</v>
      </c>
      <c r="D3" s="35">
        <v>20</v>
      </c>
      <c r="E3" s="36">
        <f>IF(C20&lt;=25%,D20,MIN(E20:F20))</f>
        <v>230</v>
      </c>
      <c r="F3" s="36">
        <f>MIN(H3:H17)</f>
        <v>119.88</v>
      </c>
      <c r="G3" s="5" t="s">
        <v>117</v>
      </c>
      <c r="H3" s="16">
        <v>800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118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7"/>
      <c r="B5" s="31"/>
      <c r="C5" s="33"/>
      <c r="D5" s="35"/>
      <c r="E5" s="36"/>
      <c r="F5" s="36"/>
      <c r="G5" s="5" t="s">
        <v>119</v>
      </c>
      <c r="H5" s="16">
        <v>119.88</v>
      </c>
      <c r="I5" s="17">
        <f t="shared" si="0"/>
        <v>119.88</v>
      </c>
    </row>
    <row r="6" spans="1:9" x14ac:dyDescent="0.25">
      <c r="A6" s="37"/>
      <c r="B6" s="31"/>
      <c r="C6" s="33"/>
      <c r="D6" s="35"/>
      <c r="E6" s="36"/>
      <c r="F6" s="36"/>
      <c r="G6" s="5" t="s">
        <v>94</v>
      </c>
      <c r="H6" s="16">
        <v>140</v>
      </c>
      <c r="I6" s="17">
        <f t="shared" si="0"/>
        <v>140</v>
      </c>
    </row>
    <row r="7" spans="1:9" x14ac:dyDescent="0.25">
      <c r="A7" s="37"/>
      <c r="B7" s="31"/>
      <c r="C7" s="33"/>
      <c r="D7" s="35"/>
      <c r="E7" s="36"/>
      <c r="F7" s="36"/>
      <c r="G7" s="5" t="s">
        <v>120</v>
      </c>
      <c r="H7" s="16">
        <v>480</v>
      </c>
      <c r="I7" s="17">
        <f t="shared" si="0"/>
        <v>480</v>
      </c>
    </row>
    <row r="8" spans="1:9" x14ac:dyDescent="0.25">
      <c r="A8" s="37"/>
      <c r="B8" s="31"/>
      <c r="C8" s="33"/>
      <c r="D8" s="35"/>
      <c r="E8" s="36"/>
      <c r="F8" s="36"/>
      <c r="G8" s="5" t="s">
        <v>98</v>
      </c>
      <c r="H8" s="16">
        <v>230</v>
      </c>
      <c r="I8" s="17">
        <f t="shared" si="0"/>
        <v>230</v>
      </c>
    </row>
    <row r="9" spans="1:9" x14ac:dyDescent="0.25">
      <c r="A9" s="37"/>
      <c r="B9" s="31"/>
      <c r="C9" s="33"/>
      <c r="D9" s="35"/>
      <c r="E9" s="36"/>
      <c r="F9" s="36"/>
      <c r="G9" s="5" t="s">
        <v>99</v>
      </c>
      <c r="H9" s="16">
        <v>200</v>
      </c>
      <c r="I9" s="17">
        <f t="shared" si="0"/>
        <v>200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104</v>
      </c>
      <c r="H10" s="16">
        <v>300.02999999999997</v>
      </c>
      <c r="I10" s="17">
        <f t="shared" si="0"/>
        <v>300.02999999999997</v>
      </c>
    </row>
    <row r="11" spans="1:9" x14ac:dyDescent="0.25">
      <c r="A11" s="37"/>
      <c r="B11" s="31"/>
      <c r="C11" s="33"/>
      <c r="D11" s="35"/>
      <c r="E11" s="36"/>
      <c r="F11" s="36"/>
      <c r="G11" s="5" t="s">
        <v>121</v>
      </c>
      <c r="H11" s="16">
        <v>170</v>
      </c>
      <c r="I11" s="17">
        <f t="shared" si="0"/>
        <v>170</v>
      </c>
    </row>
    <row r="12" spans="1:9" x14ac:dyDescent="0.25">
      <c r="A12" s="37"/>
      <c r="B12" s="31"/>
      <c r="C12" s="33"/>
      <c r="D12" s="35"/>
      <c r="E12" s="36"/>
      <c r="F12" s="36"/>
      <c r="G12" s="5" t="s">
        <v>122</v>
      </c>
      <c r="H12" s="16">
        <v>550</v>
      </c>
      <c r="I12" s="17">
        <f t="shared" si="0"/>
        <v>550</v>
      </c>
    </row>
    <row r="13" spans="1:9" x14ac:dyDescent="0.25">
      <c r="A13" s="37"/>
      <c r="B13" s="31"/>
      <c r="C13" s="33"/>
      <c r="D13" s="35"/>
      <c r="E13" s="36"/>
      <c r="F13" s="36"/>
      <c r="G13" s="5" t="s">
        <v>123</v>
      </c>
      <c r="H13" s="16">
        <v>650</v>
      </c>
      <c r="I13" s="17" t="str">
        <f t="shared" si="0"/>
        <v>Descartado</v>
      </c>
    </row>
    <row r="14" spans="1:9" x14ac:dyDescent="0.25">
      <c r="A14" s="37"/>
      <c r="B14" s="31"/>
      <c r="C14" s="33"/>
      <c r="D14" s="35"/>
      <c r="E14" s="36"/>
      <c r="F14" s="36"/>
      <c r="G14" s="5" t="s">
        <v>124</v>
      </c>
      <c r="H14" s="16">
        <v>720</v>
      </c>
      <c r="I14" s="17" t="str">
        <f t="shared" si="0"/>
        <v>Descartado</v>
      </c>
    </row>
    <row r="15" spans="1:9" x14ac:dyDescent="0.25">
      <c r="A15" s="37"/>
      <c r="B15" s="31"/>
      <c r="C15" s="33"/>
      <c r="D15" s="35"/>
      <c r="E15" s="36"/>
      <c r="F15" s="36"/>
      <c r="G15" s="5" t="s">
        <v>125</v>
      </c>
      <c r="H15" s="16">
        <v>445.47</v>
      </c>
      <c r="I15" s="17">
        <f t="shared" si="0"/>
        <v>445.47</v>
      </c>
    </row>
    <row r="16" spans="1:9" x14ac:dyDescent="0.25">
      <c r="A16" s="37"/>
      <c r="B16" s="31"/>
      <c r="C16" s="33"/>
      <c r="D16" s="35"/>
      <c r="E16" s="36"/>
      <c r="F16" s="36"/>
      <c r="G16" s="5" t="s">
        <v>126</v>
      </c>
      <c r="H16" s="16">
        <v>120</v>
      </c>
      <c r="I16" s="17">
        <f t="shared" si="0"/>
        <v>120</v>
      </c>
    </row>
    <row r="17" spans="1:9" x14ac:dyDescent="0.25">
      <c r="A17" s="37"/>
      <c r="B17" s="31"/>
      <c r="C17" s="34"/>
      <c r="D17" s="35"/>
      <c r="E17" s="36"/>
      <c r="F17" s="36"/>
      <c r="G17" s="5" t="s">
        <v>127</v>
      </c>
      <c r="H17" s="16">
        <v>120</v>
      </c>
      <c r="I17" s="17">
        <f t="shared" si="0"/>
        <v>120</v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239.94553051136617</v>
      </c>
      <c r="B20" s="8">
        <f>COUNT(H3:H17)</f>
        <v>15</v>
      </c>
      <c r="C20" s="9">
        <f>IF(B20&lt;2,"n/a",(A20/D20))</f>
        <v>0.69142590125166759</v>
      </c>
      <c r="D20" s="10">
        <f>IFERROR(ROUND(AVERAGE(H3:H17),2),"")</f>
        <v>347.03</v>
      </c>
      <c r="E20" s="15">
        <f>IFERROR(ROUND(IF(B20&lt;2,"n/a",(IF(C20&lt;=25%,"n/a",AVERAGE(I3:I17)))),2),"n/a")</f>
        <v>252.95</v>
      </c>
      <c r="F20" s="10">
        <f>IFERROR(ROUND(MEDIAN(H3:H17),2),"")</f>
        <v>230</v>
      </c>
      <c r="G20" s="11" t="str">
        <f>IFERROR(INDEX(G3:G17,MATCH(H20,H3:H17,0)),"")</f>
        <v>AGROBERTONI SERVICOS EM AGROPECUARIA LTDA</v>
      </c>
      <c r="H20" s="12">
        <f>F3</f>
        <v>119.88</v>
      </c>
    </row>
    <row r="22" spans="1:9" x14ac:dyDescent="0.25">
      <c r="G22" s="13" t="s">
        <v>19</v>
      </c>
      <c r="H22" s="14">
        <f>IF(C20&lt;=25%,D20,MIN(E20:F20))</f>
        <v>230</v>
      </c>
    </row>
    <row r="23" spans="1:9" x14ac:dyDescent="0.25">
      <c r="G23" s="13" t="s">
        <v>5</v>
      </c>
      <c r="H23" s="14">
        <f>ROUND(H22,2)*D3</f>
        <v>4600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32</v>
      </c>
      <c r="B3" s="30" t="s">
        <v>93</v>
      </c>
      <c r="C3" s="32" t="s">
        <v>76</v>
      </c>
      <c r="D3" s="35">
        <v>20</v>
      </c>
      <c r="E3" s="36">
        <f>IF(C20&lt;=25%,D20,MIN(E20:F20))</f>
        <v>292.11</v>
      </c>
      <c r="F3" s="36">
        <f>MIN(H3:H17)</f>
        <v>15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15</v>
      </c>
      <c r="I4" s="17">
        <f t="shared" ref="I4:I17" si="0">IF(H4="","",(IF($C$20&lt;25%,"n/a",IF(H4&lt;=($D$20+$A$20),H4,"Descartado"))))</f>
        <v>15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600</v>
      </c>
      <c r="I5" s="17">
        <f t="shared" si="0"/>
        <v>600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98.6</v>
      </c>
      <c r="I6" s="17">
        <f t="shared" si="0"/>
        <v>98.6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123.25</v>
      </c>
      <c r="I7" s="17">
        <f t="shared" si="0"/>
        <v>123.25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500</v>
      </c>
      <c r="I8" s="17">
        <f t="shared" si="0"/>
        <v>500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600</v>
      </c>
      <c r="I9" s="17">
        <f t="shared" si="0"/>
        <v>600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300</v>
      </c>
      <c r="I10" s="17">
        <f t="shared" si="0"/>
        <v>300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100</v>
      </c>
      <c r="I11" s="17">
        <f t="shared" si="0"/>
        <v>100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3243.9224580145424</v>
      </c>
      <c r="B20" s="8">
        <f>COUNT(H3:H17)</f>
        <v>9</v>
      </c>
      <c r="C20" s="9">
        <f>IF(B20&lt;2,"n/a",(A20/D20))</f>
        <v>2.3665138011136468</v>
      </c>
      <c r="D20" s="10">
        <f>IFERROR(ROUND(AVERAGE(H3:H17),2),"")</f>
        <v>1370.76</v>
      </c>
      <c r="E20" s="15">
        <f>IFERROR(ROUND(IF(B20&lt;2,"n/a",(IF(C20&lt;=25%,"n/a",AVERAGE(I3:I17)))),2),"n/a")</f>
        <v>292.11</v>
      </c>
      <c r="F20" s="10">
        <f>IFERROR(ROUND(MEDIAN(H3:H17),2),"")</f>
        <v>300</v>
      </c>
      <c r="G20" s="11" t="str">
        <f>IFERROR(INDEX(G3:G17,MATCH(H20,H3:H17,0)),"")</f>
        <v>APX PRODUCOES E EVENTOS LTDA</v>
      </c>
      <c r="H20" s="12">
        <f>F3</f>
        <v>15</v>
      </c>
    </row>
    <row r="22" spans="1:9" x14ac:dyDescent="0.25">
      <c r="G22" s="13" t="s">
        <v>19</v>
      </c>
      <c r="H22" s="14">
        <f>IF(C20&lt;=25%,D20,MIN(E20:F20))</f>
        <v>292.11</v>
      </c>
    </row>
    <row r="23" spans="1:9" x14ac:dyDescent="0.25">
      <c r="G23" s="13" t="s">
        <v>5</v>
      </c>
      <c r="H23" s="14">
        <f>ROUND(H22,2)*D3</f>
        <v>5842.2000000000007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33</v>
      </c>
      <c r="B3" s="30" t="s">
        <v>34</v>
      </c>
      <c r="C3" s="35" t="s">
        <v>6</v>
      </c>
      <c r="D3" s="35">
        <f>300-Item39!D3</f>
        <v>225</v>
      </c>
      <c r="E3" s="36">
        <f>IF(C20&lt;=25%,D20,MIN(E20:F20))</f>
        <v>919.45</v>
      </c>
      <c r="F3" s="36">
        <f>MIN(H3:H17)</f>
        <v>724.14</v>
      </c>
      <c r="G3" s="5" t="s">
        <v>56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5"/>
      <c r="D4" s="35"/>
      <c r="E4" s="36"/>
      <c r="F4" s="36"/>
      <c r="G4" s="5" t="s">
        <v>57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5"/>
      <c r="D5" s="35"/>
      <c r="E5" s="36"/>
      <c r="F5" s="36"/>
      <c r="G5" s="5" t="s">
        <v>39</v>
      </c>
      <c r="H5" s="16">
        <v>799</v>
      </c>
      <c r="I5" s="17" t="str">
        <f t="shared" si="0"/>
        <v>n/a</v>
      </c>
    </row>
    <row r="6" spans="1:9" x14ac:dyDescent="0.25">
      <c r="A6" s="37"/>
      <c r="B6" s="31"/>
      <c r="C6" s="35"/>
      <c r="D6" s="35"/>
      <c r="E6" s="36"/>
      <c r="F6" s="36"/>
      <c r="G6" s="5" t="s">
        <v>40</v>
      </c>
      <c r="H6" s="16">
        <v>1088.0999999999999</v>
      </c>
      <c r="I6" s="17" t="str">
        <f t="shared" si="0"/>
        <v>n/a</v>
      </c>
    </row>
    <row r="7" spans="1:9" x14ac:dyDescent="0.25">
      <c r="A7" s="37"/>
      <c r="B7" s="31"/>
      <c r="C7" s="35"/>
      <c r="D7" s="35"/>
      <c r="E7" s="36"/>
      <c r="F7" s="36"/>
      <c r="G7" s="5" t="s">
        <v>58</v>
      </c>
      <c r="H7" s="16">
        <v>1148.99</v>
      </c>
      <c r="I7" s="17" t="str">
        <f t="shared" si="0"/>
        <v>n/a</v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19</v>
      </c>
      <c r="H22" s="14">
        <f>IF(C20&lt;=25%,D20,MIN(E20:F20))</f>
        <v>919.45</v>
      </c>
    </row>
    <row r="23" spans="1:9" x14ac:dyDescent="0.25">
      <c r="G23" s="13" t="s">
        <v>5</v>
      </c>
      <c r="H23" s="14">
        <f>ROUND(H22,2)*D3</f>
        <v>206876.25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34</v>
      </c>
      <c r="B3" s="30" t="s">
        <v>35</v>
      </c>
      <c r="C3" s="35" t="s">
        <v>6</v>
      </c>
      <c r="D3" s="35">
        <v>20</v>
      </c>
      <c r="E3" s="36">
        <f>IF(C20&lt;=25%,D20,MIN(E20:F20))</f>
        <v>1326.82</v>
      </c>
      <c r="F3" s="36">
        <f>MIN(H3:H17)</f>
        <v>1198</v>
      </c>
      <c r="G3" s="5" t="s">
        <v>40</v>
      </c>
      <c r="H3" s="16">
        <v>1329.05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5"/>
      <c r="D4" s="35"/>
      <c r="E4" s="36"/>
      <c r="F4" s="36"/>
      <c r="G4" s="5" t="s">
        <v>55</v>
      </c>
      <c r="H4" s="16">
        <v>1498.99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5"/>
      <c r="D5" s="35"/>
      <c r="E5" s="36"/>
      <c r="F5" s="36"/>
      <c r="G5" s="5" t="s">
        <v>46</v>
      </c>
      <c r="H5" s="16">
        <v>1409.06</v>
      </c>
      <c r="I5" s="17" t="str">
        <f t="shared" si="0"/>
        <v>n/a</v>
      </c>
    </row>
    <row r="6" spans="1:9" x14ac:dyDescent="0.25">
      <c r="A6" s="37"/>
      <c r="B6" s="31"/>
      <c r="C6" s="35"/>
      <c r="D6" s="35"/>
      <c r="E6" s="36"/>
      <c r="F6" s="36"/>
      <c r="G6" s="5" t="s">
        <v>41</v>
      </c>
      <c r="H6" s="16">
        <v>1199</v>
      </c>
      <c r="I6" s="17" t="str">
        <f t="shared" si="0"/>
        <v>n/a</v>
      </c>
    </row>
    <row r="7" spans="1:9" x14ac:dyDescent="0.25">
      <c r="A7" s="37"/>
      <c r="B7" s="31"/>
      <c r="C7" s="35"/>
      <c r="D7" s="35"/>
      <c r="E7" s="36"/>
      <c r="F7" s="36"/>
      <c r="G7" s="5" t="s">
        <v>38</v>
      </c>
      <c r="H7" s="16">
        <v>1198</v>
      </c>
      <c r="I7" s="17" t="str">
        <f t="shared" si="0"/>
        <v>n/a</v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131.66571706408618</v>
      </c>
      <c r="B20" s="8">
        <f>COUNT(H3:H17)</f>
        <v>5</v>
      </c>
      <c r="C20" s="9">
        <f>IF(B20&lt;2,"n/a",(A20/D20))</f>
        <v>9.9234046113328242E-2</v>
      </c>
      <c r="D20" s="10">
        <f>IFERROR(ROUND(AVERAGE(H3:H17),2),"")</f>
        <v>1326.82</v>
      </c>
      <c r="E20" s="15" t="str">
        <f>IFERROR(ROUND(IF(B20&lt;2,"n/a",(IF(C20&lt;=25%,"n/a",AVERAGE(I3:I17)))),2),"n/a")</f>
        <v>n/a</v>
      </c>
      <c r="F20" s="10">
        <f>IFERROR(ROUND(MEDIAN(H3:H17),2),"")</f>
        <v>1329.05</v>
      </c>
      <c r="G20" s="11" t="str">
        <f>IFERROR(INDEX(G3:G17,MATCH(H20,H3:H17,0)),"")</f>
        <v>CARREFOUR</v>
      </c>
      <c r="H20" s="12">
        <f>F3</f>
        <v>1198</v>
      </c>
    </row>
    <row r="22" spans="1:9" x14ac:dyDescent="0.25">
      <c r="G22" s="13" t="s">
        <v>19</v>
      </c>
      <c r="H22" s="14">
        <f>IF(C20&lt;=25%,D20,MIN(E20:F20))</f>
        <v>1326.82</v>
      </c>
    </row>
    <row r="23" spans="1:9" x14ac:dyDescent="0.25">
      <c r="G23" s="13" t="s">
        <v>5</v>
      </c>
      <c r="H23" s="14">
        <f>ROUND(H22,2)*D3</f>
        <v>26536.399999999998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35</v>
      </c>
      <c r="B3" s="30" t="s">
        <v>30</v>
      </c>
      <c r="C3" s="35" t="s">
        <v>6</v>
      </c>
      <c r="D3" s="35">
        <f>140-Item1!D3</f>
        <v>126</v>
      </c>
      <c r="E3" s="36">
        <f>IF(C20&lt;=25%,D20,MIN(E20:F20))</f>
        <v>1015.33</v>
      </c>
      <c r="F3" s="36">
        <f>MIN(H3:H17)</f>
        <v>939.06</v>
      </c>
      <c r="G3" s="5" t="s">
        <v>36</v>
      </c>
      <c r="H3" s="16">
        <v>1059.72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5"/>
      <c r="D4" s="35"/>
      <c r="E4" s="36"/>
      <c r="F4" s="36"/>
      <c r="G4" s="5" t="s">
        <v>37</v>
      </c>
      <c r="H4" s="16">
        <v>999.9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5"/>
      <c r="D5" s="35"/>
      <c r="E5" s="36"/>
      <c r="F5" s="36"/>
      <c r="G5" s="5" t="s">
        <v>38</v>
      </c>
      <c r="H5" s="16">
        <v>998</v>
      </c>
      <c r="I5" s="17" t="str">
        <f t="shared" si="0"/>
        <v>n/a</v>
      </c>
    </row>
    <row r="6" spans="1:9" x14ac:dyDescent="0.25">
      <c r="A6" s="37"/>
      <c r="B6" s="31"/>
      <c r="C6" s="35"/>
      <c r="D6" s="35"/>
      <c r="E6" s="36"/>
      <c r="F6" s="36"/>
      <c r="G6" s="5" t="s">
        <v>39</v>
      </c>
      <c r="H6" s="16">
        <v>1079.96</v>
      </c>
      <c r="I6" s="17" t="str">
        <f t="shared" si="0"/>
        <v>n/a</v>
      </c>
    </row>
    <row r="7" spans="1:9" x14ac:dyDescent="0.25">
      <c r="A7" s="37"/>
      <c r="B7" s="31"/>
      <c r="C7" s="35"/>
      <c r="D7" s="35"/>
      <c r="E7" s="36"/>
      <c r="F7" s="36"/>
      <c r="G7" s="5" t="s">
        <v>40</v>
      </c>
      <c r="H7" s="16">
        <v>939.06</v>
      </c>
      <c r="I7" s="17" t="str">
        <f t="shared" si="0"/>
        <v>n/a</v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55.908487012259634</v>
      </c>
      <c r="B20" s="8">
        <f>COUNT(H3:H17)</f>
        <v>5</v>
      </c>
      <c r="C20" s="9">
        <f>IF(B20&lt;2,"n/a",(A20/D20))</f>
        <v>5.5064350518806329E-2</v>
      </c>
      <c r="D20" s="10">
        <f>IFERROR(ROUND(AVERAGE(H3:H17),2),"")</f>
        <v>1015.33</v>
      </c>
      <c r="E20" s="15" t="str">
        <f>IFERROR(ROUND(IF(B20&lt;2,"n/a",(IF(C20&lt;=25%,"n/a",AVERAGE(I3:I17)))),2),"n/a")</f>
        <v>n/a</v>
      </c>
      <c r="F20" s="10">
        <f>IFERROR(ROUND(MEDIAN(H3:H17),2),"")</f>
        <v>999.9</v>
      </c>
      <c r="G20" s="11" t="str">
        <f>IFERROR(INDEX(G3:G17,MATCH(H20,H3:H17,0)),"")</f>
        <v>MAGAZINE LUIZA</v>
      </c>
      <c r="H20" s="12">
        <f>F3</f>
        <v>939.06</v>
      </c>
    </row>
    <row r="22" spans="1:9" x14ac:dyDescent="0.25">
      <c r="G22" s="13" t="s">
        <v>19</v>
      </c>
      <c r="H22" s="14">
        <f>IF(C20&lt;=25%,D20,MIN(E20:F20))</f>
        <v>1015.33</v>
      </c>
    </row>
    <row r="23" spans="1:9" x14ac:dyDescent="0.25">
      <c r="G23" s="13" t="s">
        <v>5</v>
      </c>
      <c r="H23" s="14">
        <f>ROUND(H22,2)*D3</f>
        <v>127931.58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36</v>
      </c>
      <c r="B3" s="30" t="s">
        <v>31</v>
      </c>
      <c r="C3" s="35" t="s">
        <v>6</v>
      </c>
      <c r="D3" s="35">
        <f>500*0.25</f>
        <v>125</v>
      </c>
      <c r="E3" s="36">
        <f>IF(C20&lt;=25%,D20,MIN(E20:F20))</f>
        <v>308.70999999999998</v>
      </c>
      <c r="F3" s="36">
        <f>MIN(H3:H17)</f>
        <v>193.62</v>
      </c>
      <c r="G3" s="5" t="s">
        <v>42</v>
      </c>
      <c r="H3" s="16">
        <v>339.68</v>
      </c>
      <c r="I3" s="17">
        <f>IF(H3="","",(IF($C$20&lt;25%,"n/a",IF(H3&lt;=($D$20+$A$20),H3,"Descartado"))))</f>
        <v>339.68</v>
      </c>
    </row>
    <row r="4" spans="1:9" x14ac:dyDescent="0.25">
      <c r="A4" s="37"/>
      <c r="B4" s="31"/>
      <c r="C4" s="35"/>
      <c r="D4" s="35"/>
      <c r="E4" s="36"/>
      <c r="F4" s="36"/>
      <c r="G4" s="5" t="s">
        <v>43</v>
      </c>
      <c r="H4" s="16">
        <v>387.98</v>
      </c>
      <c r="I4" s="17">
        <f t="shared" ref="I4:I17" si="0">IF(H4="","",(IF($C$20&lt;25%,"n/a",IF(H4&lt;=($D$20+$A$20),H4,"Descartado"))))</f>
        <v>387.98</v>
      </c>
    </row>
    <row r="5" spans="1:9" x14ac:dyDescent="0.25">
      <c r="A5" s="37"/>
      <c r="B5" s="31"/>
      <c r="C5" s="35"/>
      <c r="D5" s="35"/>
      <c r="E5" s="36"/>
      <c r="F5" s="36"/>
      <c r="G5" s="5" t="s">
        <v>40</v>
      </c>
      <c r="H5" s="16">
        <v>193.62</v>
      </c>
      <c r="I5" s="17">
        <f t="shared" si="0"/>
        <v>193.62</v>
      </c>
    </row>
    <row r="6" spans="1:9" x14ac:dyDescent="0.25">
      <c r="A6" s="37"/>
      <c r="B6" s="31"/>
      <c r="C6" s="35"/>
      <c r="D6" s="35"/>
      <c r="E6" s="36"/>
      <c r="F6" s="36"/>
      <c r="G6" s="5" t="s">
        <v>44</v>
      </c>
      <c r="H6" s="16">
        <v>565.9</v>
      </c>
      <c r="I6" s="17" t="str">
        <f t="shared" si="0"/>
        <v>Descartado</v>
      </c>
    </row>
    <row r="7" spans="1:9" x14ac:dyDescent="0.25">
      <c r="A7" s="37"/>
      <c r="B7" s="31"/>
      <c r="C7" s="35"/>
      <c r="D7" s="35"/>
      <c r="E7" s="36"/>
      <c r="F7" s="36"/>
      <c r="G7" s="5" t="s">
        <v>36</v>
      </c>
      <c r="H7" s="16">
        <v>313.57</v>
      </c>
      <c r="I7" s="17">
        <f t="shared" si="0"/>
        <v>313.57</v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135.4884954525659</v>
      </c>
      <c r="B20" s="8">
        <f>COUNT(H3:H17)</f>
        <v>5</v>
      </c>
      <c r="C20" s="9">
        <f>IF(B20&lt;2,"n/a",(A20/D20))</f>
        <v>0.37620018173695935</v>
      </c>
      <c r="D20" s="10">
        <f>IFERROR(ROUND(AVERAGE(H3:H17),2),"")</f>
        <v>360.15</v>
      </c>
      <c r="E20" s="15">
        <f>IFERROR(ROUND(IF(B20&lt;2,"n/a",(IF(C20&lt;=25%,"n/a",AVERAGE(I3:I17)))),2),"n/a")</f>
        <v>308.70999999999998</v>
      </c>
      <c r="F20" s="10">
        <f>IFERROR(ROUND(MEDIAN(H3:H17),2),"")</f>
        <v>339.68</v>
      </c>
      <c r="G20" s="11" t="str">
        <f>IFERROR(INDEX(G3:G17,MATCH(H20,H3:H17,0)),"")</f>
        <v>MAGAZINE LUIZA</v>
      </c>
      <c r="H20" s="12">
        <f>F3</f>
        <v>193.62</v>
      </c>
    </row>
    <row r="22" spans="1:9" x14ac:dyDescent="0.25">
      <c r="G22" s="13" t="s">
        <v>19</v>
      </c>
      <c r="H22" s="14">
        <f>IF(C20&lt;=25%,D20,MIN(E20:F20))</f>
        <v>308.70999999999998</v>
      </c>
    </row>
    <row r="23" spans="1:9" x14ac:dyDescent="0.25">
      <c r="G23" s="13" t="s">
        <v>5</v>
      </c>
      <c r="H23" s="14">
        <f>ROUND(H22,2)*D3</f>
        <v>38588.75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37</v>
      </c>
      <c r="B3" s="30" t="s">
        <v>32</v>
      </c>
      <c r="C3" s="35" t="s">
        <v>6</v>
      </c>
      <c r="D3" s="35">
        <f>(60+20)*0.25</f>
        <v>20</v>
      </c>
      <c r="E3" s="36">
        <f>IF(C20&lt;=25%,D20,MIN(E20:F20))</f>
        <v>1242.1600000000001</v>
      </c>
      <c r="F3" s="36">
        <f>MIN(H3:H17)</f>
        <v>1038.96</v>
      </c>
      <c r="G3" s="5" t="s">
        <v>47</v>
      </c>
      <c r="H3" s="16">
        <v>1329.91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5"/>
      <c r="D4" s="35"/>
      <c r="E4" s="36"/>
      <c r="F4" s="36"/>
      <c r="G4" s="5" t="s">
        <v>48</v>
      </c>
      <c r="H4" s="16">
        <v>1253.05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5"/>
      <c r="D5" s="35"/>
      <c r="E5" s="36"/>
      <c r="F5" s="36"/>
      <c r="G5" s="5" t="s">
        <v>45</v>
      </c>
      <c r="H5" s="16">
        <v>1189.9000000000001</v>
      </c>
      <c r="I5" s="17" t="str">
        <f t="shared" si="0"/>
        <v>n/a</v>
      </c>
    </row>
    <row r="6" spans="1:9" x14ac:dyDescent="0.25">
      <c r="A6" s="37"/>
      <c r="B6" s="31"/>
      <c r="C6" s="35"/>
      <c r="D6" s="35"/>
      <c r="E6" s="36"/>
      <c r="F6" s="36"/>
      <c r="G6" s="5" t="s">
        <v>49</v>
      </c>
      <c r="H6" s="16">
        <v>1038.96</v>
      </c>
      <c r="I6" s="17" t="str">
        <f t="shared" si="0"/>
        <v>n/a</v>
      </c>
    </row>
    <row r="7" spans="1:9" x14ac:dyDescent="0.25">
      <c r="A7" s="37"/>
      <c r="B7" s="31"/>
      <c r="C7" s="35"/>
      <c r="D7" s="35"/>
      <c r="E7" s="36"/>
      <c r="F7" s="36"/>
      <c r="G7" s="5" t="s">
        <v>50</v>
      </c>
      <c r="H7" s="16">
        <v>1399</v>
      </c>
      <c r="I7" s="17" t="str">
        <f t="shared" si="0"/>
        <v>n/a</v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138.23782742071722</v>
      </c>
      <c r="B20" s="8">
        <f>COUNT(H3:H17)</f>
        <v>5</v>
      </c>
      <c r="C20" s="9">
        <f>IF(B20&lt;2,"n/a",(A20/D20))</f>
        <v>0.11128826191530658</v>
      </c>
      <c r="D20" s="10">
        <f>IFERROR(ROUND(AVERAGE(H3:H17),2),"")</f>
        <v>1242.1600000000001</v>
      </c>
      <c r="E20" s="15" t="str">
        <f>IFERROR(ROUND(IF(B20&lt;2,"n/a",(IF(C20&lt;=25%,"n/a",AVERAGE(I3:I17)))),2),"n/a")</f>
        <v>n/a</v>
      </c>
      <c r="F20" s="10">
        <f>IFERROR(ROUND(MEDIAN(H3:H17),2),"")</f>
        <v>1253.05</v>
      </c>
      <c r="G20" s="11" t="str">
        <f>IFERROR(INDEX(G3:G17,MATCH(H20,H3:H17,0)),"")</f>
        <v>KABUM</v>
      </c>
      <c r="H20" s="12">
        <f>F3</f>
        <v>1038.96</v>
      </c>
    </row>
    <row r="22" spans="1:9" x14ac:dyDescent="0.25">
      <c r="G22" s="13" t="s">
        <v>19</v>
      </c>
      <c r="H22" s="14">
        <f>IF(C20&lt;=25%,D20,MIN(E20:F20))</f>
        <v>1242.1600000000001</v>
      </c>
    </row>
    <row r="23" spans="1:9" x14ac:dyDescent="0.25">
      <c r="G23" s="13" t="s">
        <v>5</v>
      </c>
      <c r="H23" s="14">
        <f>ROUND(H22,2)*D3</f>
        <v>24843.200000000001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38</v>
      </c>
      <c r="B3" s="30" t="s">
        <v>33</v>
      </c>
      <c r="C3" s="35" t="s">
        <v>6</v>
      </c>
      <c r="D3" s="35">
        <v>2</v>
      </c>
      <c r="E3" s="36">
        <f>IF(C20&lt;=25%,D20,MIN(E20:F20))</f>
        <v>33782.480000000003</v>
      </c>
      <c r="F3" s="36">
        <f>MIN(H3:H17)</f>
        <v>28990</v>
      </c>
      <c r="G3" s="5" t="s">
        <v>51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5"/>
      <c r="D4" s="35"/>
      <c r="E4" s="36"/>
      <c r="F4" s="36"/>
      <c r="G4" s="5" t="s">
        <v>52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5"/>
      <c r="D5" s="35"/>
      <c r="E5" s="36"/>
      <c r="F5" s="36"/>
      <c r="G5" s="5" t="s">
        <v>53</v>
      </c>
      <c r="H5" s="16">
        <v>34999</v>
      </c>
      <c r="I5" s="17" t="str">
        <f t="shared" si="0"/>
        <v>n/a</v>
      </c>
    </row>
    <row r="6" spans="1:9" x14ac:dyDescent="0.25">
      <c r="A6" s="37"/>
      <c r="B6" s="31"/>
      <c r="C6" s="35"/>
      <c r="D6" s="35"/>
      <c r="E6" s="36"/>
      <c r="F6" s="36"/>
      <c r="G6" s="5" t="s">
        <v>54</v>
      </c>
      <c r="H6" s="16">
        <v>34090.92</v>
      </c>
      <c r="I6" s="17" t="str">
        <f t="shared" si="0"/>
        <v>n/a</v>
      </c>
    </row>
    <row r="7" spans="1:9" x14ac:dyDescent="0.25">
      <c r="A7" s="37"/>
      <c r="B7" s="31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19</v>
      </c>
      <c r="H22" s="14">
        <f>IF(C20&lt;=25%,D20,MIN(E20:F20))</f>
        <v>33782.480000000003</v>
      </c>
    </row>
    <row r="23" spans="1:9" x14ac:dyDescent="0.25">
      <c r="G23" s="13" t="s">
        <v>5</v>
      </c>
      <c r="H23" s="14">
        <f>ROUND(H22,2)*D3</f>
        <v>67564.960000000006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39</v>
      </c>
      <c r="B3" s="30" t="s">
        <v>34</v>
      </c>
      <c r="C3" s="35" t="s">
        <v>6</v>
      </c>
      <c r="D3" s="35">
        <f>300*0.25</f>
        <v>75</v>
      </c>
      <c r="E3" s="36">
        <f>IF(C20&lt;=25%,D20,MIN(E20:F20))</f>
        <v>919.45</v>
      </c>
      <c r="F3" s="36">
        <f>MIN(H3:H17)</f>
        <v>724.14</v>
      </c>
      <c r="G3" s="5" t="s">
        <v>56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7"/>
      <c r="B4" s="31"/>
      <c r="C4" s="35"/>
      <c r="D4" s="35"/>
      <c r="E4" s="36"/>
      <c r="F4" s="36"/>
      <c r="G4" s="5" t="s">
        <v>57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1"/>
      <c r="C5" s="35"/>
      <c r="D5" s="35"/>
      <c r="E5" s="36"/>
      <c r="F5" s="36"/>
      <c r="G5" s="5" t="s">
        <v>39</v>
      </c>
      <c r="H5" s="16">
        <v>799</v>
      </c>
      <c r="I5" s="17" t="str">
        <f t="shared" si="0"/>
        <v>n/a</v>
      </c>
    </row>
    <row r="6" spans="1:9" x14ac:dyDescent="0.25">
      <c r="A6" s="37"/>
      <c r="B6" s="31"/>
      <c r="C6" s="35"/>
      <c r="D6" s="35"/>
      <c r="E6" s="36"/>
      <c r="F6" s="36"/>
      <c r="G6" s="5" t="s">
        <v>40</v>
      </c>
      <c r="H6" s="16">
        <v>1088.0999999999999</v>
      </c>
      <c r="I6" s="17" t="str">
        <f t="shared" si="0"/>
        <v>n/a</v>
      </c>
    </row>
    <row r="7" spans="1:9" x14ac:dyDescent="0.25">
      <c r="A7" s="37"/>
      <c r="B7" s="31"/>
      <c r="C7" s="35"/>
      <c r="D7" s="35"/>
      <c r="E7" s="36"/>
      <c r="F7" s="36"/>
      <c r="G7" s="5" t="s">
        <v>58</v>
      </c>
      <c r="H7" s="16">
        <v>1148.99</v>
      </c>
      <c r="I7" s="17" t="str">
        <f t="shared" si="0"/>
        <v>n/a</v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19</v>
      </c>
      <c r="H22" s="14">
        <f>IF(C20&lt;=25%,D20,MIN(E20:F20))</f>
        <v>919.45</v>
      </c>
    </row>
    <row r="23" spans="1:9" x14ac:dyDescent="0.25">
      <c r="G23" s="13" t="s">
        <v>5</v>
      </c>
      <c r="H23" s="14">
        <f>ROUND(H22,2)*D3</f>
        <v>68958.75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4</v>
      </c>
      <c r="B3" s="30" t="s">
        <v>62</v>
      </c>
      <c r="C3" s="32" t="s">
        <v>155</v>
      </c>
      <c r="D3" s="35">
        <v>14</v>
      </c>
      <c r="E3" s="36">
        <f>IF(C20&lt;=25%,D20,MIN(E20:F20))</f>
        <v>169.09</v>
      </c>
      <c r="F3" s="36">
        <f>MIN(H3:H17)</f>
        <v>99.94</v>
      </c>
      <c r="G3" s="5" t="s">
        <v>117</v>
      </c>
      <c r="H3" s="16">
        <v>125</v>
      </c>
      <c r="I3" s="17">
        <f>IF(H3="","",(IF($C$20&lt;25%,"n/a",IF(H3&lt;=($D$20+$A$20),H3,"Descartado"))))</f>
        <v>125</v>
      </c>
    </row>
    <row r="4" spans="1:9" x14ac:dyDescent="0.25">
      <c r="A4" s="37"/>
      <c r="B4" s="31"/>
      <c r="C4" s="33"/>
      <c r="D4" s="35"/>
      <c r="E4" s="36"/>
      <c r="F4" s="36"/>
      <c r="G4" s="5" t="s">
        <v>118</v>
      </c>
      <c r="H4" s="16">
        <v>110</v>
      </c>
      <c r="I4" s="17">
        <f t="shared" ref="I4:I17" si="0">IF(H4="","",(IF($C$20&lt;25%,"n/a",IF(H4&lt;=($D$20+$A$20),H4,"Descartado"))))</f>
        <v>110</v>
      </c>
    </row>
    <row r="5" spans="1:9" x14ac:dyDescent="0.25">
      <c r="A5" s="37"/>
      <c r="B5" s="31"/>
      <c r="C5" s="33"/>
      <c r="D5" s="35"/>
      <c r="E5" s="36"/>
      <c r="F5" s="36"/>
      <c r="G5" s="5" t="s">
        <v>119</v>
      </c>
      <c r="H5" s="16">
        <v>99.94</v>
      </c>
      <c r="I5" s="17">
        <f t="shared" si="0"/>
        <v>99.94</v>
      </c>
    </row>
    <row r="6" spans="1:9" x14ac:dyDescent="0.25">
      <c r="A6" s="37"/>
      <c r="B6" s="31"/>
      <c r="C6" s="33"/>
      <c r="D6" s="35"/>
      <c r="E6" s="36"/>
      <c r="F6" s="36"/>
      <c r="G6" s="5" t="s">
        <v>94</v>
      </c>
      <c r="H6" s="16">
        <v>100</v>
      </c>
      <c r="I6" s="17">
        <f t="shared" si="0"/>
        <v>100</v>
      </c>
    </row>
    <row r="7" spans="1:9" x14ac:dyDescent="0.25">
      <c r="A7" s="37"/>
      <c r="B7" s="31"/>
      <c r="C7" s="33"/>
      <c r="D7" s="35"/>
      <c r="E7" s="36"/>
      <c r="F7" s="36"/>
      <c r="G7" s="5" t="s">
        <v>120</v>
      </c>
      <c r="H7" s="16">
        <v>490</v>
      </c>
      <c r="I7" s="17" t="str">
        <f t="shared" si="0"/>
        <v>Descartado</v>
      </c>
    </row>
    <row r="8" spans="1:9" x14ac:dyDescent="0.25">
      <c r="A8" s="37"/>
      <c r="B8" s="31"/>
      <c r="C8" s="33"/>
      <c r="D8" s="35"/>
      <c r="E8" s="36"/>
      <c r="F8" s="36"/>
      <c r="G8" s="5" t="s">
        <v>98</v>
      </c>
      <c r="H8" s="16">
        <v>175</v>
      </c>
      <c r="I8" s="17">
        <f t="shared" si="0"/>
        <v>175</v>
      </c>
    </row>
    <row r="9" spans="1:9" x14ac:dyDescent="0.25">
      <c r="A9" s="37"/>
      <c r="B9" s="31"/>
      <c r="C9" s="33"/>
      <c r="D9" s="35"/>
      <c r="E9" s="36"/>
      <c r="F9" s="36"/>
      <c r="G9" s="5" t="s">
        <v>99</v>
      </c>
      <c r="H9" s="16">
        <v>175</v>
      </c>
      <c r="I9" s="17">
        <f t="shared" si="0"/>
        <v>175</v>
      </c>
    </row>
    <row r="10" spans="1:9" x14ac:dyDescent="0.25">
      <c r="A10" s="37"/>
      <c r="B10" s="31"/>
      <c r="C10" s="33"/>
      <c r="D10" s="35"/>
      <c r="E10" s="36"/>
      <c r="F10" s="36"/>
      <c r="G10" s="5" t="s">
        <v>104</v>
      </c>
      <c r="H10" s="16">
        <v>225</v>
      </c>
      <c r="I10" s="17">
        <f t="shared" si="0"/>
        <v>225</v>
      </c>
    </row>
    <row r="11" spans="1:9" x14ac:dyDescent="0.25">
      <c r="A11" s="37"/>
      <c r="B11" s="31"/>
      <c r="C11" s="33"/>
      <c r="D11" s="35"/>
      <c r="E11" s="36"/>
      <c r="F11" s="36"/>
      <c r="G11" s="5" t="s">
        <v>121</v>
      </c>
      <c r="H11" s="16">
        <v>100.5</v>
      </c>
      <c r="I11" s="17">
        <f t="shared" si="0"/>
        <v>100.5</v>
      </c>
    </row>
    <row r="12" spans="1:9" x14ac:dyDescent="0.25">
      <c r="A12" s="37"/>
      <c r="B12" s="31"/>
      <c r="C12" s="33"/>
      <c r="D12" s="35"/>
      <c r="E12" s="36"/>
      <c r="F12" s="36"/>
      <c r="G12" s="5" t="s">
        <v>122</v>
      </c>
      <c r="H12" s="16">
        <v>525</v>
      </c>
      <c r="I12" s="17" t="str">
        <f t="shared" si="0"/>
        <v>Descartado</v>
      </c>
    </row>
    <row r="13" spans="1:9" x14ac:dyDescent="0.25">
      <c r="A13" s="37"/>
      <c r="B13" s="31"/>
      <c r="C13" s="33"/>
      <c r="D13" s="35"/>
      <c r="E13" s="36"/>
      <c r="F13" s="36"/>
      <c r="G13" s="5" t="s">
        <v>123</v>
      </c>
      <c r="H13" s="16">
        <v>325</v>
      </c>
      <c r="I13" s="17">
        <f t="shared" si="0"/>
        <v>325</v>
      </c>
    </row>
    <row r="14" spans="1:9" x14ac:dyDescent="0.25">
      <c r="A14" s="37"/>
      <c r="B14" s="31"/>
      <c r="C14" s="33"/>
      <c r="D14" s="35"/>
      <c r="E14" s="36"/>
      <c r="F14" s="36"/>
      <c r="G14" s="5" t="s">
        <v>124</v>
      </c>
      <c r="H14" s="16">
        <v>150</v>
      </c>
      <c r="I14" s="17">
        <f t="shared" si="0"/>
        <v>150</v>
      </c>
    </row>
    <row r="15" spans="1:9" x14ac:dyDescent="0.25">
      <c r="A15" s="37"/>
      <c r="B15" s="31"/>
      <c r="C15" s="33"/>
      <c r="D15" s="35"/>
      <c r="E15" s="36"/>
      <c r="F15" s="36"/>
      <c r="G15" s="5" t="s">
        <v>125</v>
      </c>
      <c r="H15" s="16">
        <v>222.73500000000001</v>
      </c>
      <c r="I15" s="17">
        <f t="shared" si="0"/>
        <v>222.73500000000001</v>
      </c>
    </row>
    <row r="16" spans="1:9" x14ac:dyDescent="0.25">
      <c r="A16" s="37"/>
      <c r="B16" s="31"/>
      <c r="C16" s="33"/>
      <c r="D16" s="35"/>
      <c r="E16" s="36"/>
      <c r="F16" s="36"/>
      <c r="G16" s="5" t="s">
        <v>126</v>
      </c>
      <c r="H16" s="16">
        <v>140</v>
      </c>
      <c r="I16" s="17">
        <f t="shared" si="0"/>
        <v>140</v>
      </c>
    </row>
    <row r="17" spans="1:9" x14ac:dyDescent="0.25">
      <c r="A17" s="37"/>
      <c r="B17" s="31"/>
      <c r="C17" s="34"/>
      <c r="D17" s="35"/>
      <c r="E17" s="36"/>
      <c r="F17" s="36"/>
      <c r="G17" s="5" t="s">
        <v>127</v>
      </c>
      <c r="H17" s="16">
        <v>250</v>
      </c>
      <c r="I17" s="17">
        <f t="shared" si="0"/>
        <v>250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135.47523805987922</v>
      </c>
      <c r="B20" s="8">
        <f>COUNT(H3:H17)</f>
        <v>15</v>
      </c>
      <c r="C20" s="9">
        <f>IF(B20&lt;2,"n/a",(A20/D20))</f>
        <v>0.63244124018430148</v>
      </c>
      <c r="D20" s="10">
        <f>IFERROR(ROUND(AVERAGE(H3:H17),2),"")</f>
        <v>214.21</v>
      </c>
      <c r="E20" s="15">
        <f>IFERROR(ROUND(IF(B20&lt;2,"n/a",(IF(C20&lt;=25%,"n/a",AVERAGE(I3:I17)))),2),"n/a")</f>
        <v>169.09</v>
      </c>
      <c r="F20" s="10">
        <f>IFERROR(ROUND(MEDIAN(H3:H17),2),"")</f>
        <v>175</v>
      </c>
      <c r="G20" s="11" t="str">
        <f>IFERROR(INDEX(G3:G17,MATCH(H20,H3:H17,0)),"")</f>
        <v>AGROBERTONI SERVICOS EM AGROPECUARIA LTDA</v>
      </c>
      <c r="H20" s="12">
        <f>F3</f>
        <v>99.94</v>
      </c>
    </row>
    <row r="22" spans="1:9" x14ac:dyDescent="0.25">
      <c r="G22" s="13" t="s">
        <v>19</v>
      </c>
      <c r="H22" s="14">
        <f>IF(C20&lt;=25%,D20,MIN(E20:F20))</f>
        <v>169.09</v>
      </c>
    </row>
    <row r="23" spans="1:9" x14ac:dyDescent="0.25">
      <c r="G23" s="13" t="s">
        <v>5</v>
      </c>
      <c r="H23" s="14">
        <f>ROUND(H22,2)*D3</f>
        <v>2367.2600000000002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40</v>
      </c>
      <c r="B3" s="30"/>
      <c r="C3" s="35" t="s">
        <v>6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1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1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1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1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19</v>
      </c>
      <c r="H22" s="14">
        <f>IF(C20&lt;=25%,D20,MIN(E20:F20))</f>
        <v>0</v>
      </c>
    </row>
    <row r="23" spans="1:9" x14ac:dyDescent="0.25">
      <c r="G23" s="13" t="s">
        <v>5</v>
      </c>
      <c r="H23" s="14">
        <f>ROUND(H22,2)*D3</f>
        <v>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3" t="s">
        <v>1</v>
      </c>
      <c r="B2" s="23" t="s">
        <v>2</v>
      </c>
      <c r="C2" s="23" t="s">
        <v>3</v>
      </c>
      <c r="D2" s="23" t="s">
        <v>4</v>
      </c>
      <c r="E2" s="23" t="s">
        <v>8</v>
      </c>
      <c r="F2" s="23" t="s">
        <v>9</v>
      </c>
      <c r="G2" s="23" t="s">
        <v>10</v>
      </c>
      <c r="H2" s="23" t="s">
        <v>11</v>
      </c>
      <c r="I2" s="23" t="s">
        <v>12</v>
      </c>
    </row>
    <row r="3" spans="1:9" x14ac:dyDescent="0.25">
      <c r="A3" s="37">
        <v>41</v>
      </c>
      <c r="B3" s="30"/>
      <c r="C3" s="35" t="s">
        <v>6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1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1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1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1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1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1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1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1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1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3" t="s">
        <v>13</v>
      </c>
      <c r="B19" s="23" t="s">
        <v>14</v>
      </c>
      <c r="C19" s="23" t="s">
        <v>24</v>
      </c>
      <c r="D19" s="23" t="s">
        <v>15</v>
      </c>
      <c r="E19" s="23" t="s">
        <v>16</v>
      </c>
      <c r="F19" s="23" t="s">
        <v>17</v>
      </c>
      <c r="G19" s="28" t="s">
        <v>18</v>
      </c>
      <c r="H19" s="28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19</v>
      </c>
      <c r="H22" s="14">
        <f>IF(C20&lt;=25%,D20,MIN(E20:F20))</f>
        <v>0</v>
      </c>
    </row>
    <row r="23" spans="1:9" x14ac:dyDescent="0.25">
      <c r="G23" s="13" t="s">
        <v>5</v>
      </c>
      <c r="H23" s="14">
        <f>ROUND(H22,2)*D3</f>
        <v>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zoomScale="95" zoomScaleNormal="100" zoomScaleSheetLayoutView="95" workbookViewId="0">
      <selection sqref="A1:G1"/>
    </sheetView>
  </sheetViews>
  <sheetFormatPr defaultRowHeight="15" x14ac:dyDescent="0.25"/>
  <cols>
    <col min="1" max="2" width="6.7109375" style="1" customWidth="1"/>
    <col min="3" max="3" width="36.7109375" style="4" customWidth="1"/>
    <col min="4" max="5" width="12.7109375" style="1" customWidth="1"/>
    <col min="6" max="7" width="15.7109375" style="1" customWidth="1"/>
    <col min="8" max="16384" width="9.140625" style="1"/>
  </cols>
  <sheetData>
    <row r="1" spans="1:7" ht="15" customHeight="1" x14ac:dyDescent="0.25">
      <c r="A1" s="38" t="s">
        <v>0</v>
      </c>
      <c r="B1" s="38"/>
      <c r="C1" s="38"/>
      <c r="D1" s="38"/>
      <c r="E1" s="38"/>
      <c r="F1" s="38"/>
      <c r="G1" s="38"/>
    </row>
    <row r="2" spans="1:7" ht="24" x14ac:dyDescent="0.25">
      <c r="A2" s="6" t="s">
        <v>28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154</v>
      </c>
      <c r="G2" s="6" t="s">
        <v>5</v>
      </c>
    </row>
    <row r="3" spans="1:7" ht="30" x14ac:dyDescent="0.25">
      <c r="A3" s="20">
        <v>1</v>
      </c>
      <c r="B3" s="20">
        <f>Item1!A3</f>
        <v>1</v>
      </c>
      <c r="C3" s="22" t="str">
        <f>Item1!B3</f>
        <v>Serviço de filmagem digital em alta definição (HD).</v>
      </c>
      <c r="D3" s="24" t="str">
        <f>Item1!C3</f>
        <v>Diária de 4 horas</v>
      </c>
      <c r="E3" s="20">
        <f>Item1!D3</f>
        <v>14</v>
      </c>
      <c r="F3" s="21">
        <f>Item1!E3</f>
        <v>1200</v>
      </c>
      <c r="G3" s="21">
        <f>ROUND((E3*F3),2)</f>
        <v>16800</v>
      </c>
    </row>
    <row r="4" spans="1:7" ht="30" x14ac:dyDescent="0.25">
      <c r="A4" s="20">
        <v>1</v>
      </c>
      <c r="B4" s="20">
        <f>Item2!A3</f>
        <v>2</v>
      </c>
      <c r="C4" s="22" t="str">
        <f>Item2!B3</f>
        <v>Serviço de transmissão simultânea de evento, com recursos de áudio e vídeo</v>
      </c>
      <c r="D4" s="24" t="str">
        <f>Item2!C3</f>
        <v>Diária de 4 horas</v>
      </c>
      <c r="E4" s="20">
        <f>Item2!D3</f>
        <v>6</v>
      </c>
      <c r="F4" s="21">
        <f>Item2!E3</f>
        <v>2825</v>
      </c>
      <c r="G4" s="21">
        <f t="shared" ref="G4:G16" si="0">ROUND((E4*F4),2)</f>
        <v>16950</v>
      </c>
    </row>
    <row r="5" spans="1:7" ht="30" x14ac:dyDescent="0.25">
      <c r="A5" s="20">
        <v>1</v>
      </c>
      <c r="B5" s="20">
        <f>Item3!A3</f>
        <v>3</v>
      </c>
      <c r="C5" s="22" t="str">
        <f>Item3!B3</f>
        <v>Sistema de som.</v>
      </c>
      <c r="D5" s="24" t="str">
        <f>Item3!C3</f>
        <v>Diária de 4 horas</v>
      </c>
      <c r="E5" s="20">
        <f>Item3!D3</f>
        <v>10</v>
      </c>
      <c r="F5" s="21">
        <f>Item3!E3</f>
        <v>787.5</v>
      </c>
      <c r="G5" s="21">
        <f t="shared" si="0"/>
        <v>7875</v>
      </c>
    </row>
    <row r="6" spans="1:7" ht="30" x14ac:dyDescent="0.25">
      <c r="A6" s="20">
        <v>1</v>
      </c>
      <c r="B6" s="20">
        <f>Item4!A3</f>
        <v>4</v>
      </c>
      <c r="C6" s="22" t="str">
        <f>Item4!B3</f>
        <v>Monitor de 32” para retorno de vídeo no palco</v>
      </c>
      <c r="D6" s="24" t="str">
        <f>Item4!C3</f>
        <v>Diária de 4 horas</v>
      </c>
      <c r="E6" s="20">
        <f>Item4!D3</f>
        <v>14</v>
      </c>
      <c r="F6" s="21">
        <f>Item4!E3</f>
        <v>169.09</v>
      </c>
      <c r="G6" s="21">
        <f t="shared" si="0"/>
        <v>2367.2600000000002</v>
      </c>
    </row>
    <row r="7" spans="1:7" ht="30" x14ac:dyDescent="0.25">
      <c r="A7" s="20">
        <v>1</v>
      </c>
      <c r="B7" s="20">
        <f>Item5!A3</f>
        <v>5</v>
      </c>
      <c r="C7" s="22" t="str">
        <f>Item5!B3</f>
        <v>Serviço de cobertura fotográfica</v>
      </c>
      <c r="D7" s="24" t="str">
        <f>Item5!C3</f>
        <v>Diária de 4 horas</v>
      </c>
      <c r="E7" s="20">
        <f>Item5!D3</f>
        <v>100</v>
      </c>
      <c r="F7" s="21">
        <f>Item5!E3</f>
        <v>496.8</v>
      </c>
      <c r="G7" s="21">
        <f t="shared" si="0"/>
        <v>49680</v>
      </c>
    </row>
    <row r="8" spans="1:7" ht="75" x14ac:dyDescent="0.25">
      <c r="A8" s="20">
        <v>1</v>
      </c>
      <c r="B8" s="20">
        <f>Item6!A3</f>
        <v>6</v>
      </c>
      <c r="C8" s="22" t="str">
        <f>Item6!B3</f>
        <v>Serviço de filmagem em alta definição FHD, com link dedicado de internet, com webstreaming (transmissão ao vivo) para os principais sites/mídias sociais, como YouTube, Instagram e Facebook</v>
      </c>
      <c r="D8" s="24" t="str">
        <f>Item6!C3</f>
        <v>Diária de 4 horas</v>
      </c>
      <c r="E8" s="20">
        <f>Item6!D3</f>
        <v>12</v>
      </c>
      <c r="F8" s="21">
        <f>Item6!E3</f>
        <v>7358.4</v>
      </c>
      <c r="G8" s="21">
        <f t="shared" si="0"/>
        <v>88300.800000000003</v>
      </c>
    </row>
    <row r="9" spans="1:7" ht="45" x14ac:dyDescent="0.25">
      <c r="A9" s="20">
        <v>1</v>
      </c>
      <c r="B9" s="20">
        <f>Item7!A3</f>
        <v>7</v>
      </c>
      <c r="C9" s="22" t="str">
        <f>Item7!B3</f>
        <v>Serviço de suporte técnico para transmissão de eventos ao vivo em mídias sociais</v>
      </c>
      <c r="D9" s="24" t="str">
        <f>Item7!C3</f>
        <v>Diária de 4 horas</v>
      </c>
      <c r="E9" s="20">
        <f>Item7!D3</f>
        <v>12</v>
      </c>
      <c r="F9" s="21">
        <f>Item7!E3</f>
        <v>250</v>
      </c>
      <c r="G9" s="21">
        <f t="shared" si="0"/>
        <v>3000</v>
      </c>
    </row>
    <row r="10" spans="1:7" ht="45" x14ac:dyDescent="0.25">
      <c r="A10" s="20">
        <v>1</v>
      </c>
      <c r="B10" s="20">
        <f>Item8!A3</f>
        <v>8</v>
      </c>
      <c r="C10" s="22" t="str">
        <f>Item8!B3</f>
        <v>Painel de LED, por M2 (metro quadrado), com a devida estrutura de fixação e acabamento em tecido.</v>
      </c>
      <c r="D10" s="24" t="str">
        <f>Item8!C3</f>
        <v>Diária de 24 horas</v>
      </c>
      <c r="E10" s="20">
        <f>Item8!D3</f>
        <v>70</v>
      </c>
      <c r="F10" s="21">
        <f>Item8!E3</f>
        <v>412.6</v>
      </c>
      <c r="G10" s="21">
        <f t="shared" si="0"/>
        <v>28882</v>
      </c>
    </row>
    <row r="11" spans="1:7" ht="30" x14ac:dyDescent="0.25">
      <c r="A11" s="20">
        <v>1</v>
      </c>
      <c r="B11" s="20">
        <f>Item9!A3</f>
        <v>9</v>
      </c>
      <c r="C11" s="22" t="str">
        <f>Item9!B3</f>
        <v>Pedestal de Microfone de mesa</v>
      </c>
      <c r="D11" s="24" t="str">
        <f>Item9!C3</f>
        <v>Diária de 24 horas</v>
      </c>
      <c r="E11" s="20">
        <f>Item9!D3</f>
        <v>6</v>
      </c>
      <c r="F11" s="21">
        <f>Item9!E3</f>
        <v>52.5</v>
      </c>
      <c r="G11" s="21">
        <f t="shared" si="0"/>
        <v>315</v>
      </c>
    </row>
    <row r="12" spans="1:7" ht="30" x14ac:dyDescent="0.25">
      <c r="A12" s="20">
        <v>1</v>
      </c>
      <c r="B12" s="20">
        <f>Item10!A3</f>
        <v>10</v>
      </c>
      <c r="C12" s="22" t="str">
        <f>Item10!B3</f>
        <v>Pedestal girafa para Microfone</v>
      </c>
      <c r="D12" s="24" t="str">
        <f>Item10!C3</f>
        <v>Diária de 24 horas</v>
      </c>
      <c r="E12" s="20">
        <f>Item10!D3</f>
        <v>6</v>
      </c>
      <c r="F12" s="21">
        <f>Item10!E3</f>
        <v>100</v>
      </c>
      <c r="G12" s="21">
        <f t="shared" si="0"/>
        <v>600</v>
      </c>
    </row>
    <row r="13" spans="1:7" ht="30" x14ac:dyDescent="0.25">
      <c r="A13" s="20">
        <v>1</v>
      </c>
      <c r="B13" s="20">
        <f>Item11!A3</f>
        <v>11</v>
      </c>
      <c r="C13" s="22" t="str">
        <f>Item11!B3</f>
        <v>Microfone com fio, com pedestal mesa</v>
      </c>
      <c r="D13" s="24" t="str">
        <f>Item11!C3</f>
        <v>Diária de 24 horas</v>
      </c>
      <c r="E13" s="20">
        <f>Item11!D3</f>
        <v>6</v>
      </c>
      <c r="F13" s="21">
        <f>Item11!E3</f>
        <v>219.73</v>
      </c>
      <c r="G13" s="21">
        <f t="shared" si="0"/>
        <v>1318.38</v>
      </c>
    </row>
    <row r="14" spans="1:7" ht="30" x14ac:dyDescent="0.25">
      <c r="A14" s="20">
        <v>1</v>
      </c>
      <c r="B14" s="20">
        <f>Item12!A3</f>
        <v>12</v>
      </c>
      <c r="C14" s="22" t="str">
        <f>Item12!B3</f>
        <v>Microfone sem fio, com pedestal girafa</v>
      </c>
      <c r="D14" s="24" t="str">
        <f>Item12!C3</f>
        <v>Diária de 24 horas</v>
      </c>
      <c r="E14" s="20">
        <f>Item12!D3</f>
        <v>6</v>
      </c>
      <c r="F14" s="21">
        <f>Item12!E3</f>
        <v>241.88</v>
      </c>
      <c r="G14" s="21">
        <f t="shared" si="0"/>
        <v>1451.28</v>
      </c>
    </row>
    <row r="15" spans="1:7" ht="45" x14ac:dyDescent="0.25">
      <c r="A15" s="20">
        <v>1</v>
      </c>
      <c r="B15" s="20">
        <f>Item13!A3</f>
        <v>13</v>
      </c>
      <c r="C15" s="22" t="str">
        <f>Item13!B3</f>
        <v>Projetor multimídia até 3.000 ansi lumens, contraste até 2000:1, resolução de 1024x768 pixels e correção de canto</v>
      </c>
      <c r="D15" s="24" t="str">
        <f>Item13!C3</f>
        <v>Diária de 24 horas</v>
      </c>
      <c r="E15" s="20">
        <f>Item13!D3</f>
        <v>6</v>
      </c>
      <c r="F15" s="21">
        <f>Item13!E3</f>
        <v>675</v>
      </c>
      <c r="G15" s="21">
        <f t="shared" si="0"/>
        <v>4050</v>
      </c>
    </row>
    <row r="16" spans="1:7" ht="30" x14ac:dyDescent="0.25">
      <c r="A16" s="20">
        <v>1</v>
      </c>
      <c r="B16" s="20">
        <f>Item14!A3</f>
        <v>14</v>
      </c>
      <c r="C16" s="22" t="str">
        <f>Item14!B3</f>
        <v>Tela de projeção de 300 polegadas, com opção para teto ou tripé</v>
      </c>
      <c r="D16" s="24" t="str">
        <f>Item14!C3</f>
        <v>Diária de 24 horas</v>
      </c>
      <c r="E16" s="20">
        <f>Item14!D3</f>
        <v>6</v>
      </c>
      <c r="F16" s="21">
        <f>Item14!E3</f>
        <v>1000</v>
      </c>
      <c r="G16" s="21">
        <f t="shared" si="0"/>
        <v>6000</v>
      </c>
    </row>
    <row r="17" spans="4:6" ht="15.75" thickBot="1" x14ac:dyDescent="0.3"/>
    <row r="18" spans="4:6" ht="16.5" thickTop="1" thickBot="1" x14ac:dyDescent="0.3">
      <c r="D18" s="39" t="s">
        <v>29</v>
      </c>
      <c r="E18" s="40"/>
      <c r="F18" s="19">
        <f>SUM(G:G)</f>
        <v>227589.72</v>
      </c>
    </row>
    <row r="19" spans="4:6" ht="15.75" thickTop="1" x14ac:dyDescent="0.25">
      <c r="F19" s="3"/>
    </row>
    <row r="20" spans="4:6" x14ac:dyDescent="0.25">
      <c r="D20" s="25" t="s">
        <v>152</v>
      </c>
      <c r="E20" s="13">
        <f>MAX(A:A)</f>
        <v>1</v>
      </c>
    </row>
    <row r="22" spans="4:6" x14ac:dyDescent="0.25">
      <c r="D22" s="26" t="s">
        <v>153</v>
      </c>
      <c r="E22" s="27">
        <v>1</v>
      </c>
      <c r="F22" s="18">
        <f>SUMIF(A:A,E22,G:G)</f>
        <v>227589.72</v>
      </c>
    </row>
    <row r="23" spans="4:6" x14ac:dyDescent="0.25">
      <c r="D23" s="26" t="s">
        <v>153</v>
      </c>
      <c r="E23" s="27">
        <v>2</v>
      </c>
      <c r="F23" s="18">
        <f>SUMIF(A:A,E23,G:G)</f>
        <v>0</v>
      </c>
    </row>
    <row r="24" spans="4:6" x14ac:dyDescent="0.25">
      <c r="D24" s="26" t="s">
        <v>153</v>
      </c>
      <c r="E24" s="27">
        <v>3</v>
      </c>
      <c r="F24" s="18">
        <f>SUMIF(A:A,E24,G:G)</f>
        <v>0</v>
      </c>
    </row>
    <row r="25" spans="4:6" x14ac:dyDescent="0.25">
      <c r="D25" s="26" t="s">
        <v>153</v>
      </c>
      <c r="E25" s="27">
        <v>4</v>
      </c>
      <c r="F25" s="18">
        <f>SUMIF(A:A,E25,G:G)</f>
        <v>0</v>
      </c>
    </row>
  </sheetData>
  <mergeCells count="2">
    <mergeCell ref="A1:G1"/>
    <mergeCell ref="D18:E18"/>
  </mergeCells>
  <pageMargins left="0.51181102362204722" right="0.51181102362204722" top="1.2598425196850394" bottom="0.78740157480314965" header="0.31496062992125984" footer="0.31496062992125984"/>
  <pageSetup paperSize="9" scale="86" fitToHeight="0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5</v>
      </c>
      <c r="B3" s="30" t="s">
        <v>63</v>
      </c>
      <c r="C3" s="32" t="s">
        <v>155</v>
      </c>
      <c r="D3" s="35">
        <v>100</v>
      </c>
      <c r="E3" s="36">
        <f>IF(C20&lt;=25%,D20,MIN(E20:F20))</f>
        <v>496.8</v>
      </c>
      <c r="F3" s="36">
        <f>MIN(H3:H17)</f>
        <v>56.5</v>
      </c>
      <c r="G3" s="5" t="s">
        <v>94</v>
      </c>
      <c r="H3" s="16">
        <v>2500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56.5</v>
      </c>
      <c r="I4" s="17">
        <f t="shared" ref="I4:I17" si="0">IF(H4="","",(IF($C$20&lt;25%,"n/a",IF(H4&lt;=($D$20+$A$20),H4,"Descartado"))))</f>
        <v>56.5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1500</v>
      </c>
      <c r="I5" s="17">
        <f t="shared" si="0"/>
        <v>1500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496.8</v>
      </c>
      <c r="I6" s="17">
        <f t="shared" si="0"/>
        <v>496.8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600</v>
      </c>
      <c r="I7" s="17">
        <f t="shared" si="0"/>
        <v>600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1600</v>
      </c>
      <c r="I8" s="17">
        <f t="shared" si="0"/>
        <v>1600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125</v>
      </c>
      <c r="I9" s="17">
        <f t="shared" si="0"/>
        <v>125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351</v>
      </c>
      <c r="I10" s="17">
        <f t="shared" si="0"/>
        <v>351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300</v>
      </c>
      <c r="I11" s="17">
        <f t="shared" si="0"/>
        <v>300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836.65253905735028</v>
      </c>
      <c r="B20" s="8">
        <f>COUNT(H3:H17)</f>
        <v>9</v>
      </c>
      <c r="C20" s="9">
        <f>IF(B20&lt;2,"n/a",(A20/D20))</f>
        <v>1.0000747547273459</v>
      </c>
      <c r="D20" s="10">
        <f>IFERROR(ROUND(AVERAGE(H3:H17),2),"")</f>
        <v>836.59</v>
      </c>
      <c r="E20" s="15">
        <f>IFERROR(ROUND(IF(B20&lt;2,"n/a",(IF(C20&lt;=25%,"n/a",AVERAGE(I3:I17)))),2),"n/a")</f>
        <v>628.66</v>
      </c>
      <c r="F20" s="10">
        <f>IFERROR(ROUND(MEDIAN(H3:H17),2),"")</f>
        <v>496.8</v>
      </c>
      <c r="G20" s="11" t="str">
        <f>IFERROR(INDEX(G3:G17,MATCH(H20,H3:H17,0)),"")</f>
        <v>APX PRODUCOES E EVENTOS LTDA</v>
      </c>
      <c r="H20" s="12">
        <f>F3</f>
        <v>56.5</v>
      </c>
    </row>
    <row r="22" spans="1:9" x14ac:dyDescent="0.25">
      <c r="G22" s="13" t="s">
        <v>19</v>
      </c>
      <c r="H22" s="14">
        <f>IF(C20&lt;=25%,D20,MIN(E20:F20))</f>
        <v>496.8</v>
      </c>
    </row>
    <row r="23" spans="1:9" x14ac:dyDescent="0.25">
      <c r="G23" s="13" t="s">
        <v>5</v>
      </c>
      <c r="H23" s="14">
        <f>ROUND(H22,2)*D3</f>
        <v>49680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6</v>
      </c>
      <c r="B3" s="30" t="s">
        <v>64</v>
      </c>
      <c r="C3" s="32" t="s">
        <v>155</v>
      </c>
      <c r="D3" s="35">
        <v>12</v>
      </c>
      <c r="E3" s="36">
        <f>IF(C20&lt;=25%,D20,MIN(E20:F20))</f>
        <v>7358.4</v>
      </c>
      <c r="F3" s="36">
        <f>MIN(H3:H17)</f>
        <v>400</v>
      </c>
      <c r="G3" s="5" t="s">
        <v>94</v>
      </c>
      <c r="H3" s="16">
        <f>20000*4</f>
        <v>80000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(56+44)*4</f>
        <v>400</v>
      </c>
      <c r="I4" s="17">
        <f t="shared" ref="I4:I17" si="0">IF(H4="","",(IF($C$20&lt;25%,"n/a",IF(H4&lt;=($D$20+$A$20),H4,"Descartado"))))</f>
        <v>400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(250+4000)*4</f>
        <v>17000</v>
      </c>
      <c r="I5" s="17">
        <f t="shared" si="0"/>
        <v>17000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(1196.8+370)*4</f>
        <v>6267.2</v>
      </c>
      <c r="I6" s="17">
        <f t="shared" si="0"/>
        <v>6267.2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(300+200)*4</f>
        <v>2000</v>
      </c>
      <c r="I7" s="17">
        <f t="shared" si="0"/>
        <v>2000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(900+1200)*4</f>
        <v>8400</v>
      </c>
      <c r="I8" s="17">
        <f t="shared" si="0"/>
        <v>8400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(1600+1800)*4</f>
        <v>13600</v>
      </c>
      <c r="I9" s="17">
        <f t="shared" si="0"/>
        <v>13600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(300+2000)*4</f>
        <v>9200</v>
      </c>
      <c r="I10" s="17">
        <f t="shared" si="0"/>
        <v>9200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(300+200)*4</f>
        <v>2000</v>
      </c>
      <c r="I11" s="17">
        <f t="shared" si="0"/>
        <v>2000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24834.250801486061</v>
      </c>
      <c r="B20" s="8">
        <f>COUNT(H3:H17)</f>
        <v>9</v>
      </c>
      <c r="C20" s="9">
        <f>IF(B20&lt;2,"n/a",(A20/D20))</f>
        <v>1.6095106772388856</v>
      </c>
      <c r="D20" s="10">
        <f>IFERROR(ROUND(AVERAGE(H3:H17),2),"")</f>
        <v>15429.69</v>
      </c>
      <c r="E20" s="15">
        <f>IFERROR(ROUND(IF(B20&lt;2,"n/a",(IF(C20&lt;=25%,"n/a",AVERAGE(I3:I17)))),2),"n/a")</f>
        <v>7358.4</v>
      </c>
      <c r="F20" s="10">
        <f>IFERROR(ROUND(MEDIAN(H3:H17),2),"")</f>
        <v>8400</v>
      </c>
      <c r="G20" s="11" t="str">
        <f>IFERROR(INDEX(G3:G17,MATCH(H20,H3:H17,0)),"")</f>
        <v>APX PRODUCOES E EVENTOS LTDA</v>
      </c>
      <c r="H20" s="12">
        <f>F3</f>
        <v>400</v>
      </c>
    </row>
    <row r="22" spans="1:9" x14ac:dyDescent="0.25">
      <c r="G22" s="13" t="s">
        <v>19</v>
      </c>
      <c r="H22" s="14">
        <f>IF(C20&lt;=25%,D20,MIN(E20:F20))</f>
        <v>7358.4</v>
      </c>
    </row>
    <row r="23" spans="1:9" x14ac:dyDescent="0.25">
      <c r="G23" s="13" t="s">
        <v>5</v>
      </c>
      <c r="H23" s="14">
        <f>ROUND(H22,2)*D3</f>
        <v>88300.799999999988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7</v>
      </c>
      <c r="B3" s="30" t="s">
        <v>65</v>
      </c>
      <c r="C3" s="32" t="s">
        <v>155</v>
      </c>
      <c r="D3" s="35">
        <v>12</v>
      </c>
      <c r="E3" s="36">
        <f>IF(C20&lt;=25%,D20,MIN(E20:F20))</f>
        <v>250</v>
      </c>
      <c r="F3" s="36">
        <f>MIN(H3:H17)</f>
        <v>14</v>
      </c>
      <c r="G3" s="5" t="s">
        <v>94</v>
      </c>
      <c r="H3" s="16">
        <v>5000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14</v>
      </c>
      <c r="I4" s="17">
        <f t="shared" ref="I4:I17" si="0">IF(H4="","",(IF($C$20&lt;25%,"n/a",IF(H4&lt;=($D$20+$A$20),H4,"Descartado"))))</f>
        <v>14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250</v>
      </c>
      <c r="I5" s="17">
        <f t="shared" si="0"/>
        <v>250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146.69999999999999</v>
      </c>
      <c r="I6" s="17">
        <f t="shared" si="0"/>
        <v>146.69999999999999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125</v>
      </c>
      <c r="I7" s="17">
        <f t="shared" si="0"/>
        <v>125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1250</v>
      </c>
      <c r="I8" s="17">
        <f t="shared" si="0"/>
        <v>1250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750</v>
      </c>
      <c r="I9" s="17">
        <f t="shared" si="0"/>
        <v>750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600</v>
      </c>
      <c r="I10" s="17">
        <f t="shared" si="0"/>
        <v>600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90</v>
      </c>
      <c r="I11" s="17">
        <f t="shared" si="0"/>
        <v>90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1584.0977826510584</v>
      </c>
      <c r="B20" s="8">
        <f>COUNT(H3:H17)</f>
        <v>9</v>
      </c>
      <c r="C20" s="9">
        <f>IF(B20&lt;2,"n/a",(A20/D20))</f>
        <v>1.7332054472806091</v>
      </c>
      <c r="D20" s="10">
        <f>IFERROR(ROUND(AVERAGE(H3:H17),2),"")</f>
        <v>913.97</v>
      </c>
      <c r="E20" s="15">
        <f>IFERROR(ROUND(IF(B20&lt;2,"n/a",(IF(C20&lt;=25%,"n/a",AVERAGE(I3:I17)))),2),"n/a")</f>
        <v>403.21</v>
      </c>
      <c r="F20" s="10">
        <f>IFERROR(ROUND(MEDIAN(H3:H17),2),"")</f>
        <v>250</v>
      </c>
      <c r="G20" s="11" t="str">
        <f>IFERROR(INDEX(G3:G17,MATCH(H20,H3:H17,0)),"")</f>
        <v>APX PRODUCOES E EVENTOS LTDA</v>
      </c>
      <c r="H20" s="12">
        <f>F3</f>
        <v>14</v>
      </c>
    </row>
    <row r="22" spans="1:9" x14ac:dyDescent="0.25">
      <c r="G22" s="13" t="s">
        <v>19</v>
      </c>
      <c r="H22" s="14">
        <f>IF(C20&lt;=25%,D20,MIN(E20:F20))</f>
        <v>250</v>
      </c>
    </row>
    <row r="23" spans="1:9" x14ac:dyDescent="0.25">
      <c r="G23" s="13" t="s">
        <v>5</v>
      </c>
      <c r="H23" s="14">
        <f>ROUND(H22,2)*D3</f>
        <v>3000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8</v>
      </c>
      <c r="B3" s="30" t="s">
        <v>156</v>
      </c>
      <c r="C3" s="32" t="s">
        <v>66</v>
      </c>
      <c r="D3" s="35">
        <v>70</v>
      </c>
      <c r="E3" s="36">
        <f>IF(C20&lt;=25%,D20,MIN(E20:F20))</f>
        <v>412.6</v>
      </c>
      <c r="F3" s="36">
        <f>MIN(H3:H17)</f>
        <v>28</v>
      </c>
      <c r="G3" s="5" t="s">
        <v>94</v>
      </c>
      <c r="H3" s="16">
        <f>10000</f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f>28</f>
        <v>28</v>
      </c>
      <c r="I4" s="17">
        <f t="shared" ref="I4:I17" si="0">IF(H4="","",(IF($C$20&lt;25%,"n/a",IF(H4&lt;=($D$20+$A$20),H4,"Descartado"))))</f>
        <v>28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f>300</f>
        <v>300</v>
      </c>
      <c r="I5" s="17">
        <f t="shared" si="0"/>
        <v>300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f>412.6</f>
        <v>412.6</v>
      </c>
      <c r="I6" s="17">
        <f t="shared" si="0"/>
        <v>412.6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f>300</f>
        <v>300</v>
      </c>
      <c r="I7" s="17">
        <f t="shared" si="0"/>
        <v>300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f>1000</f>
        <v>1000</v>
      </c>
      <c r="I8" s="17">
        <f t="shared" si="0"/>
        <v>1000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f>630</f>
        <v>630</v>
      </c>
      <c r="I9" s="17">
        <f t="shared" si="0"/>
        <v>630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f>800</f>
        <v>800</v>
      </c>
      <c r="I10" s="17">
        <f t="shared" si="0"/>
        <v>800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f>300</f>
        <v>300</v>
      </c>
      <c r="I11" s="17">
        <f t="shared" si="0"/>
        <v>300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3189.9840657909249</v>
      </c>
      <c r="B20" s="8">
        <f>COUNT(H3:H17)</f>
        <v>9</v>
      </c>
      <c r="C20" s="9">
        <f>IF(B20&lt;2,"n/a",(A20/D20))</f>
        <v>2.0848615199245297</v>
      </c>
      <c r="D20" s="10">
        <f>IFERROR(ROUND(AVERAGE(H3:H17),2),"")</f>
        <v>1530.07</v>
      </c>
      <c r="E20" s="15">
        <f>IFERROR(ROUND(IF(B20&lt;2,"n/a",(IF(C20&lt;=25%,"n/a",AVERAGE(I3:I17)))),2),"n/a")</f>
        <v>471.33</v>
      </c>
      <c r="F20" s="10">
        <f>IFERROR(ROUND(MEDIAN(H3:H17),2),"")</f>
        <v>412.6</v>
      </c>
      <c r="G20" s="11" t="str">
        <f>IFERROR(INDEX(G3:G17,MATCH(H20,H3:H17,0)),"")</f>
        <v>APX PRODUCOES E EVENTOS LTDA</v>
      </c>
      <c r="H20" s="12">
        <f>F3</f>
        <v>28</v>
      </c>
    </row>
    <row r="22" spans="1:9" x14ac:dyDescent="0.25">
      <c r="G22" s="13" t="s">
        <v>19</v>
      </c>
      <c r="H22" s="14">
        <f>IF(C20&lt;=25%,D20,MIN(E20:F20))</f>
        <v>412.6</v>
      </c>
    </row>
    <row r="23" spans="1:9" x14ac:dyDescent="0.25">
      <c r="G23" s="13" t="s">
        <v>5</v>
      </c>
      <c r="H23" s="14">
        <f>ROUND(H22,2)*D3</f>
        <v>28882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7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7">
        <v>9</v>
      </c>
      <c r="B3" s="30" t="s">
        <v>67</v>
      </c>
      <c r="C3" s="32" t="s">
        <v>66</v>
      </c>
      <c r="D3" s="35">
        <v>6</v>
      </c>
      <c r="E3" s="36">
        <f>IF(C20&lt;=25%,D20,MIN(E20:F20))</f>
        <v>52.5</v>
      </c>
      <c r="F3" s="36">
        <f>MIN(H3:H17)</f>
        <v>5</v>
      </c>
      <c r="G3" s="5" t="s">
        <v>94</v>
      </c>
      <c r="H3" s="16">
        <v>10000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1"/>
      <c r="C4" s="33"/>
      <c r="D4" s="35"/>
      <c r="E4" s="36"/>
      <c r="F4" s="36"/>
      <c r="G4" s="5" t="s">
        <v>95</v>
      </c>
      <c r="H4" s="16">
        <v>5</v>
      </c>
      <c r="I4" s="17">
        <f t="shared" ref="I4:I17" si="0">IF(H4="","",(IF($C$20&lt;25%,"n/a",IF(H4&lt;=($D$20+$A$20),H4,"Descartado"))))</f>
        <v>5</v>
      </c>
    </row>
    <row r="5" spans="1:9" x14ac:dyDescent="0.25">
      <c r="A5" s="37"/>
      <c r="B5" s="31"/>
      <c r="C5" s="33"/>
      <c r="D5" s="35"/>
      <c r="E5" s="36"/>
      <c r="F5" s="36"/>
      <c r="G5" s="5" t="s">
        <v>96</v>
      </c>
      <c r="H5" s="16">
        <v>200</v>
      </c>
      <c r="I5" s="17">
        <f t="shared" si="0"/>
        <v>200</v>
      </c>
    </row>
    <row r="6" spans="1:9" x14ac:dyDescent="0.25">
      <c r="A6" s="37"/>
      <c r="B6" s="31"/>
      <c r="C6" s="33"/>
      <c r="D6" s="35"/>
      <c r="E6" s="36"/>
      <c r="F6" s="36"/>
      <c r="G6" s="5" t="s">
        <v>97</v>
      </c>
      <c r="H6" s="16">
        <v>37.4</v>
      </c>
      <c r="I6" s="17">
        <f t="shared" si="0"/>
        <v>37.4</v>
      </c>
    </row>
    <row r="7" spans="1:9" x14ac:dyDescent="0.25">
      <c r="A7" s="37"/>
      <c r="B7" s="31"/>
      <c r="C7" s="33"/>
      <c r="D7" s="35"/>
      <c r="E7" s="36"/>
      <c r="F7" s="36"/>
      <c r="G7" s="5" t="s">
        <v>98</v>
      </c>
      <c r="H7" s="16">
        <v>30</v>
      </c>
      <c r="I7" s="17">
        <f t="shared" si="0"/>
        <v>30</v>
      </c>
    </row>
    <row r="8" spans="1:9" x14ac:dyDescent="0.25">
      <c r="A8" s="37"/>
      <c r="B8" s="31"/>
      <c r="C8" s="33"/>
      <c r="D8" s="35"/>
      <c r="E8" s="36"/>
      <c r="F8" s="36"/>
      <c r="G8" s="5" t="s">
        <v>99</v>
      </c>
      <c r="H8" s="16">
        <v>620</v>
      </c>
      <c r="I8" s="17">
        <f t="shared" si="0"/>
        <v>620</v>
      </c>
    </row>
    <row r="9" spans="1:9" x14ac:dyDescent="0.25">
      <c r="A9" s="37"/>
      <c r="B9" s="31"/>
      <c r="C9" s="33"/>
      <c r="D9" s="35"/>
      <c r="E9" s="36"/>
      <c r="F9" s="36"/>
      <c r="G9" s="5" t="s">
        <v>100</v>
      </c>
      <c r="H9" s="16">
        <v>52.5</v>
      </c>
      <c r="I9" s="17">
        <f t="shared" si="0"/>
        <v>52.5</v>
      </c>
    </row>
    <row r="10" spans="1:9" x14ac:dyDescent="0.25">
      <c r="A10" s="37"/>
      <c r="B10" s="31"/>
      <c r="C10" s="33"/>
      <c r="D10" s="35"/>
      <c r="E10" s="36"/>
      <c r="F10" s="36"/>
      <c r="G10" s="5" t="s">
        <v>101</v>
      </c>
      <c r="H10" s="16">
        <v>500</v>
      </c>
      <c r="I10" s="17">
        <f t="shared" si="0"/>
        <v>500</v>
      </c>
    </row>
    <row r="11" spans="1:9" x14ac:dyDescent="0.25">
      <c r="A11" s="37"/>
      <c r="B11" s="31"/>
      <c r="C11" s="33"/>
      <c r="D11" s="35"/>
      <c r="E11" s="36"/>
      <c r="F11" s="36"/>
      <c r="G11" s="5" t="s">
        <v>102</v>
      </c>
      <c r="H11" s="16">
        <v>25</v>
      </c>
      <c r="I11" s="17">
        <f t="shared" si="0"/>
        <v>25</v>
      </c>
    </row>
    <row r="12" spans="1:9" x14ac:dyDescent="0.25">
      <c r="A12" s="37"/>
      <c r="B12" s="31"/>
      <c r="C12" s="33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1"/>
      <c r="C13" s="33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1"/>
      <c r="C14" s="33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1"/>
      <c r="C15" s="33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1"/>
      <c r="C16" s="33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1"/>
      <c r="C17" s="34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8" t="s">
        <v>18</v>
      </c>
      <c r="H19" s="28"/>
    </row>
    <row r="20" spans="1:9" x14ac:dyDescent="0.25">
      <c r="A20" s="8">
        <f>IF(B20&lt;2,"n/a",(_xlfn.STDEV.S(H3:H17)))</f>
        <v>3279.9101001399413</v>
      </c>
      <c r="B20" s="8">
        <f>COUNT(H3:H17)</f>
        <v>9</v>
      </c>
      <c r="C20" s="9">
        <f>IF(B20&lt;2,"n/a",(A20/D20))</f>
        <v>2.5736290734994789</v>
      </c>
      <c r="D20" s="10">
        <f>IFERROR(ROUND(AVERAGE(H3:H17),2),"")</f>
        <v>1274.43</v>
      </c>
      <c r="E20" s="15">
        <f>IFERROR(ROUND(IF(B20&lt;2,"n/a",(IF(C20&lt;=25%,"n/a",AVERAGE(I3:I17)))),2),"n/a")</f>
        <v>183.74</v>
      </c>
      <c r="F20" s="10">
        <f>IFERROR(ROUND(MEDIAN(H3:H17),2),"")</f>
        <v>52.5</v>
      </c>
      <c r="G20" s="11" t="str">
        <f>IFERROR(INDEX(G3:G17,MATCH(H20,H3:H17,0)),"")</f>
        <v>APX PRODUCOES E EVENTOS LTDA</v>
      </c>
      <c r="H20" s="12">
        <f>F3</f>
        <v>5</v>
      </c>
    </row>
    <row r="22" spans="1:9" x14ac:dyDescent="0.25">
      <c r="G22" s="13" t="s">
        <v>19</v>
      </c>
      <c r="H22" s="14">
        <f>IF(C20&lt;=25%,D20,MIN(E20:F20))</f>
        <v>52.5</v>
      </c>
    </row>
    <row r="23" spans="1:9" x14ac:dyDescent="0.25">
      <c r="G23" s="13" t="s">
        <v>5</v>
      </c>
      <c r="H23" s="14">
        <f>ROUND(H22,2)*D3</f>
        <v>315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42</vt:i4>
      </vt:variant>
      <vt:variant>
        <vt:lpstr>Intervalos nomeados</vt:lpstr>
      </vt:variant>
      <vt:variant>
        <vt:i4>2</vt:i4>
      </vt:variant>
    </vt:vector>
  </HeadingPairs>
  <TitlesOfParts>
    <vt:vector size="4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2025-06-03T16:42:26Z</cp:lastPrinted>
  <dcterms:created xsi:type="dcterms:W3CDTF">2023-11-07T17:10:34Z</dcterms:created>
  <dcterms:modified xsi:type="dcterms:W3CDTF">2025-08-12T11:59:56Z</dcterms:modified>
</cp:coreProperties>
</file>